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adc-sp.epl.gov.br/GEINF/Documentos Compartilhados/TR_Lotes_EPL/Orçamento/"/>
    </mc:Choice>
  </mc:AlternateContent>
  <bookViews>
    <workbookView xWindow="0" yWindow="0" windowWidth="18870" windowHeight="6975"/>
  </bookViews>
  <sheets>
    <sheet name="Plan1" sheetId="1" r:id="rId1"/>
  </sheets>
  <externalReferences>
    <externalReference r:id="rId2"/>
    <externalReference r:id="rId3"/>
  </externalReferences>
  <definedNames>
    <definedName name="_xlnm._FilterDatabase" localSheetId="0" hidden="1">Plan1!$A$8:$I$176</definedName>
    <definedName name="_xlnm.Print_Area" localSheetId="0">Plan1!$A$1:$H$176</definedName>
    <definedName name="_xlnm.Print_Titles" localSheetId="0">Plan1!$6:$8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1" l="1"/>
  <c r="C59" i="1"/>
  <c r="C172" i="1" l="1"/>
  <c r="I172" i="1" l="1"/>
  <c r="I163" i="1"/>
  <c r="I134" i="1"/>
  <c r="I141" i="1"/>
  <c r="I148" i="1"/>
  <c r="I111" i="1"/>
  <c r="I102" i="1" s="1"/>
  <c r="I93" i="1" s="1"/>
  <c r="I82" i="1"/>
  <c r="C173" i="1" l="1"/>
  <c r="C175" i="1"/>
  <c r="I26" i="1" l="1"/>
  <c r="I22" i="1"/>
  <c r="I18" i="1"/>
  <c r="I10" i="1"/>
  <c r="I9" i="1" l="1"/>
  <c r="D151" i="1"/>
  <c r="D159" i="1"/>
  <c r="H159" i="1" s="1"/>
  <c r="D126" i="1"/>
  <c r="D122" i="1"/>
  <c r="D119" i="1"/>
  <c r="D112" i="1"/>
  <c r="D103" i="1"/>
  <c r="D94" i="1"/>
  <c r="D164" i="1"/>
  <c r="D167" i="1"/>
  <c r="D170" i="1"/>
  <c r="D175" i="1"/>
  <c r="D173" i="1"/>
  <c r="D149" i="1"/>
  <c r="D146" i="1"/>
  <c r="D144" i="1"/>
  <c r="D142" i="1"/>
  <c r="D139" i="1"/>
  <c r="D137" i="1"/>
  <c r="D135" i="1"/>
  <c r="D132" i="1"/>
  <c r="D130" i="1"/>
  <c r="D109" i="1"/>
  <c r="D107" i="1"/>
  <c r="D100" i="1"/>
  <c r="D98" i="1"/>
  <c r="D91" i="1"/>
  <c r="D89" i="1"/>
  <c r="D87" i="1"/>
  <c r="D83" i="1"/>
  <c r="D80" i="1"/>
  <c r="D78" i="1"/>
  <c r="D75" i="1"/>
  <c r="D73" i="1"/>
  <c r="D69" i="1"/>
  <c r="D67" i="1"/>
  <c r="D65" i="1"/>
  <c r="D62" i="1"/>
  <c r="D59" i="1"/>
  <c r="D54" i="1"/>
  <c r="D52" i="1"/>
  <c r="D44" i="1"/>
  <c r="D42" i="1"/>
  <c r="D33" i="1"/>
  <c r="D26" i="1"/>
  <c r="D22" i="1"/>
  <c r="D18" i="1"/>
  <c r="D10" i="1"/>
  <c r="D72" i="1" l="1"/>
  <c r="H72" i="1" s="1"/>
  <c r="D111" i="1"/>
  <c r="H111" i="1" s="1"/>
  <c r="D172" i="1"/>
  <c r="H172" i="1" s="1"/>
  <c r="D134" i="1"/>
  <c r="H134" i="1" s="1"/>
  <c r="D32" i="1"/>
  <c r="H32" i="1" s="1"/>
  <c r="D163" i="1"/>
  <c r="H163" i="1" s="1"/>
  <c r="D102" i="1"/>
  <c r="H102" i="1" s="1"/>
  <c r="D9" i="1"/>
  <c r="H9" i="1" s="1"/>
  <c r="D148" i="1"/>
  <c r="H148" i="1" s="1"/>
  <c r="D93" i="1"/>
  <c r="H93" i="1" s="1"/>
  <c r="D141" i="1"/>
  <c r="H141" i="1" s="1"/>
  <c r="D82" i="1"/>
  <c r="H82" i="1" s="1"/>
  <c r="E7" i="1"/>
  <c r="F7" i="1"/>
  <c r="D7" i="1" l="1"/>
  <c r="H7" i="1" s="1"/>
  <c r="G172" i="1"/>
  <c r="G163" i="1"/>
  <c r="G148" i="1"/>
  <c r="G141" i="1"/>
  <c r="G134" i="1"/>
  <c r="G111" i="1"/>
  <c r="G102" i="1"/>
  <c r="G93" i="1"/>
  <c r="G82" i="1"/>
  <c r="G72" i="1"/>
  <c r="G32" i="1"/>
  <c r="G9" i="1"/>
  <c r="G7" i="1" l="1"/>
  <c r="C52" i="1" l="1"/>
  <c r="C65" i="1" l="1"/>
  <c r="C67" i="1" l="1"/>
  <c r="C42" i="1" l="1"/>
  <c r="C159" i="1" l="1"/>
  <c r="C163" i="1" l="1"/>
  <c r="C167" i="1" l="1"/>
  <c r="C164" i="1"/>
  <c r="C170" i="1"/>
  <c r="C69" i="1" l="1"/>
  <c r="C54" i="1" l="1"/>
  <c r="C73" i="1" l="1"/>
  <c r="C44" i="1"/>
  <c r="C9" i="1"/>
  <c r="C134" i="1"/>
  <c r="C148" i="1"/>
  <c r="C141" i="1"/>
  <c r="C78" i="1" l="1"/>
  <c r="C80" i="1"/>
  <c r="C33" i="1"/>
  <c r="C75" i="1"/>
  <c r="C139" i="1"/>
  <c r="C137" i="1"/>
  <c r="C135" i="1"/>
  <c r="C14" i="1"/>
  <c r="C24" i="1"/>
  <c r="C20" i="1"/>
  <c r="C12" i="1"/>
  <c r="C23" i="1"/>
  <c r="C15" i="1"/>
  <c r="C25" i="1"/>
  <c r="C16" i="1"/>
  <c r="C27" i="1"/>
  <c r="C21" i="1"/>
  <c r="C13" i="1"/>
  <c r="C17" i="1"/>
  <c r="C28" i="1"/>
  <c r="C19" i="1"/>
  <c r="C29" i="1"/>
  <c r="C30" i="1"/>
  <c r="C31" i="1"/>
  <c r="C11" i="1"/>
  <c r="C22" i="1"/>
  <c r="C26" i="1"/>
  <c r="C10" i="1"/>
  <c r="C18" i="1"/>
  <c r="C146" i="1"/>
  <c r="C142" i="1"/>
  <c r="C144" i="1"/>
  <c r="C151" i="1"/>
  <c r="C149" i="1"/>
  <c r="C32" i="1" l="1"/>
  <c r="I33" i="1" s="1"/>
  <c r="C72" i="1"/>
  <c r="I75" i="1" s="1"/>
  <c r="I52" i="1" l="1"/>
  <c r="I62" i="1"/>
  <c r="I67" i="1"/>
  <c r="I69" i="1"/>
  <c r="I59" i="1"/>
  <c r="I42" i="1"/>
  <c r="I65" i="1"/>
  <c r="I54" i="1"/>
  <c r="I44" i="1"/>
  <c r="C3" i="1"/>
  <c r="I78" i="1"/>
  <c r="I80" i="1"/>
  <c r="I73" i="1"/>
  <c r="C2" i="1"/>
  <c r="I32" i="1" l="1"/>
  <c r="I72" i="1"/>
  <c r="C4" i="1"/>
  <c r="C111" i="1" s="1"/>
  <c r="C82" i="1" l="1"/>
  <c r="C91" i="1" s="1"/>
  <c r="C93" i="1"/>
  <c r="C100" i="1" s="1"/>
  <c r="C102" i="1"/>
  <c r="C107" i="1" s="1"/>
  <c r="C132" i="1"/>
  <c r="C130" i="1"/>
  <c r="C122" i="1"/>
  <c r="C112" i="1"/>
  <c r="C119" i="1"/>
  <c r="C126" i="1"/>
  <c r="C94" i="1" l="1"/>
  <c r="C98" i="1"/>
  <c r="C103" i="1"/>
  <c r="C109" i="1"/>
  <c r="C7" i="1"/>
  <c r="C89" i="1"/>
  <c r="C83" i="1"/>
  <c r="C87" i="1"/>
</calcChain>
</file>

<file path=xl/sharedStrings.xml><?xml version="1.0" encoding="utf-8"?>
<sst xmlns="http://schemas.openxmlformats.org/spreadsheetml/2006/main" count="233" uniqueCount="178">
  <si>
    <t>Levantamento topográfico</t>
  </si>
  <si>
    <t>Cadastro Geral da Rodovia</t>
  </si>
  <si>
    <t>Vídeo registro</t>
  </si>
  <si>
    <t>Sistema de visualização + fotos e filme georreferenciados</t>
  </si>
  <si>
    <t>Item</t>
  </si>
  <si>
    <t>Levantamento de pavimentos</t>
  </si>
  <si>
    <t>Estudos de Tráfego</t>
  </si>
  <si>
    <t>Plano de Trabalho</t>
  </si>
  <si>
    <t>Estudos Ambientais</t>
  </si>
  <si>
    <t>Trabalhos Iniciais</t>
  </si>
  <si>
    <t>Modelo Operacional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</si>
  <si>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</si>
  <si>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</si>
  <si>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</si>
  <si>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</si>
  <si>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</si>
  <si>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Programa de Recuperação</t>
  </si>
  <si>
    <t>Manutenção Periódica e Conservação</t>
  </si>
  <si>
    <t>Ampliação de Capacidade e Melhorias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</si>
  <si>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</si>
  <si>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</si>
  <si>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</si>
  <si>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</si>
  <si>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</si>
  <si>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</si>
  <si>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Plano de trabalho separado por disciplina (demais disciplinas)</t>
  </si>
  <si>
    <t>Relatório de memória de quantidades</t>
  </si>
  <si>
    <t>Modelo Econômico-Financeiro</t>
  </si>
  <si>
    <t>Relatório Final Consolidado</t>
  </si>
  <si>
    <t>Planilha MEF</t>
  </si>
  <si>
    <t>Arquivos do HDM-4 montados com cadastro de segmentos homogêneo e respectivas características técnicas - pav. existente</t>
  </si>
  <si>
    <t>Arquivos do HDM-4 montados com cadastro de segmentos homogêneo e respectivas características técnicas - pav. Novos</t>
  </si>
  <si>
    <t>Programa de Manutenção de Pavimentos Existentes - relatórios de saída do HDM com pelo menos 2 cenários alternativos</t>
  </si>
  <si>
    <t>Programa de Manutenção de Pavimentos Novos - relatórios de saída do HDM com pelo menos 2 cenários alternativos</t>
  </si>
  <si>
    <t>Programa de Pavimentação</t>
  </si>
  <si>
    <t>Relatório de Estudo de Dimensionamento de Alternativas de Pavimento (rígido e flexível)</t>
  </si>
  <si>
    <t>iRap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</si>
  <si>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</si>
  <si>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</si>
  <si>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</si>
  <si>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</si>
  <si>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</si>
  <si>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</si>
  <si>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</si>
  <si>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Relatório de Levantamento Visual (IGG, LVC, PRO-07), IRI/QI e FWD + planilhas formato EPL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</si>
  <si>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</si>
  <si>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</si>
  <si>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</si>
  <si>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</si>
  <si>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</si>
  <si>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</si>
  <si>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</si>
  <si>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Gestão do Projeto</t>
  </si>
  <si>
    <t>Relatório de subsídios de respostas às contribuições da audiência pública</t>
  </si>
  <si>
    <t>Cadastro em planilha padrão e elaboração de kmz padrão com os pleitos da audiência pública</t>
  </si>
  <si>
    <t>Apoio à fase de Subísidos ao Órgão de Controle Externo</t>
  </si>
  <si>
    <t>Apoio à fase de Audiência Pública</t>
  </si>
  <si>
    <t>Relatório de subsídios a eventuais questionamentos órgão de controle externo</t>
  </si>
  <si>
    <t>Plano de trabalho (Outros)</t>
  </si>
  <si>
    <t>Orçamento</t>
  </si>
  <si>
    <t>Planilhas com cálculo do FIT,  DMT, Aquisição e Transporte de Material betuminoso</t>
  </si>
  <si>
    <t>Planilha MEF total com cálculo da Administração Local, canteiros, Mobilização e Desmobilização</t>
  </si>
  <si>
    <t>Planilhas com composições de custo unitário, BDI, quantitativos consolidados e Curva ABC</t>
  </si>
  <si>
    <t>Levantamentos Primários de Dados de Tráfego com arquivo kmz conforme determinado no Termo de Referência.</t>
  </si>
  <si>
    <t>Relatório de Tráfego - Situação Atual</t>
  </si>
  <si>
    <t>• Caracterização da Concessão e da Região de Inserção do Lote.
• Levantamento e processamento de dados primários e secundários.
• Determinação do Volume Diário Médio Anual no ano base.
• Arquivos conforme determinado no Termo de Referência.</t>
  </si>
  <si>
    <t>• Determinação do Custo de Viagem.
• Sistema de Transporte e Rede Georreferenciada.
• Zoneamento
• Localização das praças de pedágio
• Arquivos conforme determinado no Termo de Referência.</t>
  </si>
  <si>
    <t>• Alocação de viagens.
• Matriz Origem-Destino no ano base.
• Carregamento do sistema no ano base.
• Arquivos conforme determinado no Termo de Referência.</t>
  </si>
  <si>
    <t>Relatório de Tráfego - Tráfego ao longo da concessão</t>
  </si>
  <si>
    <t>• Modelo de Projeção.
• Arquivos conforme determinado no Termo de Referência.</t>
  </si>
  <si>
    <t>• Previsão de intervenções no sistema.
• Matrizes Origem-Destino futuras.
• Carregamento do sistema ao longo da concessão.
• Arquivos conforme determinado no Termo de Referência.</t>
  </si>
  <si>
    <t>• Consolidação da localização das praças de pedágio.
• Arquivos conforme determinado no Termo de Referência.</t>
  </si>
  <si>
    <t>Relatório de Tráfego - Dimensionamento de Infraestrutura</t>
  </si>
  <si>
    <t>• Avaliação do nível de serviço sem a realização de obras de melhorias e ampliação de capacidade de acordo com o HCM.
• Avaliação da necessidade de implantação de faixas adicionais em rampas ascedentes e descendentes.
• Arquivos conforme determinado no Termo de Referência.</t>
  </si>
  <si>
    <t>• Avaliação do nível de serviço com a realização de obras de melhorias e ampliação de capacidade de acordo com o HCM.
• Listagem de intervenções por segmento homogêneo e ano de implantação.
• Arquivos conforme determinado no Termo de Referência.</t>
  </si>
  <si>
    <t>• Posicionamento, identificação e dimensionamento de dispositivos e intersecções no sistema.
• Arquivos conforme determinado no Termo de Referência.</t>
  </si>
  <si>
    <t>• Dimensionamento das praças de pedágio.
• Arquivos conforme determinado no Termo de Referência.</t>
  </si>
  <si>
    <t>• Cálculos de apoio ao dimensionamento do pavimento.
• Arquivos conforme determinado no Termo de Referência.</t>
  </si>
  <si>
    <t>Modelagem Juríca</t>
  </si>
  <si>
    <t>Plano de trabalho</t>
  </si>
  <si>
    <t>Relatório de Promoção</t>
  </si>
  <si>
    <t>Relatório de Promoção e Road Shows</t>
  </si>
  <si>
    <t>Frente de Promoção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</si>
  <si>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</si>
  <si>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</si>
  <si>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</si>
  <si>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</si>
  <si>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</si>
  <si>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</si>
  <si>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</si>
  <si>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</si>
  <si>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</si>
  <si>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</si>
  <si>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</si>
  <si>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</si>
  <si>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</si>
  <si>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</si>
  <si>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</si>
  <si>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</si>
  <si>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</si>
  <si>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</si>
  <si>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</si>
  <si>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</si>
  <si>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</si>
  <si>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</si>
  <si>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</si>
  <si>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</si>
  <si>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</si>
  <si>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</si>
  <si>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</si>
  <si>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</si>
  <si>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</si>
  <si>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</si>
  <si>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</si>
  <si>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</si>
  <si>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</si>
  <si>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</si>
  <si>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</si>
  <si>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</si>
  <si>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</si>
  <si>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</si>
  <si>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</si>
  <si>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</si>
  <si>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</si>
  <si>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</si>
  <si>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</si>
  <si>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</si>
  <si>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</si>
  <si>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</si>
  <si>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</si>
  <si>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</si>
  <si>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</si>
  <si>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</si>
  <si>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</si>
  <si>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</si>
  <si>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</si>
  <si>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</si>
  <si>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</si>
  <si>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</si>
  <si>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</si>
  <si>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</si>
  <si>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</si>
  <si>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</si>
  <si>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</si>
  <si>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</si>
  <si>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</si>
  <si>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</si>
  <si>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</si>
  <si>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</si>
  <si>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</si>
  <si>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</si>
  <si>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</si>
  <si>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9.2</t>
  </si>
  <si>
    <t>9.3</t>
  </si>
  <si>
    <t>10.1</t>
  </si>
  <si>
    <t>10.2</t>
  </si>
  <si>
    <r>
      <rPr>
        <sz val="7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Due diligence</t>
    </r>
    <r>
      <rPr>
        <sz val="11"/>
        <rFont val="Calibri"/>
        <family val="2"/>
        <scheme val="minor"/>
      </rPr>
      <t xml:space="preserve"> jurídico-institucional</t>
    </r>
  </si>
  <si>
    <t>Valor do item
(R$)</t>
  </si>
  <si>
    <t>7.6</t>
  </si>
  <si>
    <t>12.1</t>
  </si>
  <si>
    <t>12.2</t>
  </si>
  <si>
    <t>12.3</t>
  </si>
  <si>
    <t>13.1</t>
  </si>
  <si>
    <t>13.2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</si>
  <si>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</si>
  <si>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</si>
  <si>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</si>
  <si>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EGIS</t>
  </si>
  <si>
    <t>HOUER</t>
  </si>
  <si>
    <t>LOGIT</t>
  </si>
  <si>
    <t>Porcentagens</t>
  </si>
  <si>
    <t>VALOR TOTAL (R$):</t>
  </si>
  <si>
    <t>ORÇAMENTO EPL</t>
  </si>
  <si>
    <t>COTAÇÕES DE MERCADO</t>
  </si>
  <si>
    <t>Pavesys(*)</t>
  </si>
  <si>
    <t>MÉDIA DAS COTAÇÕES CONSIDERADAS APTAS</t>
  </si>
  <si>
    <r>
      <rPr>
        <b/>
        <u/>
        <sz val="11"/>
        <rFont val="Calibri"/>
        <family val="2"/>
        <scheme val="minor"/>
      </rPr>
      <t>Nota:</t>
    </r>
    <r>
      <rPr>
        <b/>
        <sz val="11"/>
        <rFont val="Calibri"/>
        <family val="2"/>
        <scheme val="minor"/>
      </rPr>
      <t xml:space="preserve">
(*) Cotação considerada inapta por estar com valor demasiadamente defasado em relação às demais.</t>
    </r>
  </si>
  <si>
    <t>Grupo B - Orçamentos Referenciais de Preços dos Produtos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</si>
</sst>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_-;\-* #,##0.0_-;_-* &quot;-&quot;?_-;_-@_-"/>
    <numFmt numFmtId="165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/>
    </xf>
    <xf numFmtId="4" fontId="0" fillId="0" borderId="1" xfId="0" applyNumberFormat="1" applyBorder="1" applyAlignment="1">
      <alignment horizontal="right" vertical="center" wrapText="1"/>
    </xf>
    <xf numFmtId="4" fontId="0" fillId="0" borderId="0" xfId="0" applyNumberFormat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3" fontId="1" fillId="4" borderId="1" xfId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justify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4" fontId="1" fillId="3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7" fillId="0" borderId="3" xfId="1" applyNumberFormat="1" applyFont="1" applyBorder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5" fontId="1" fillId="4" borderId="6" xfId="2" applyNumberFormat="1" applyFont="1" applyFill="1" applyBorder="1" applyAlignment="1">
      <alignment horizontal="center" vertical="center"/>
    </xf>
    <xf numFmtId="165" fontId="0" fillId="0" borderId="6" xfId="2" applyNumberFormat="1" applyFont="1" applyBorder="1" applyAlignment="1">
      <alignment horizontal="center" vertical="center"/>
    </xf>
    <xf numFmtId="165" fontId="0" fillId="0" borderId="6" xfId="2" applyNumberFormat="1" applyFont="1" applyBorder="1" applyAlignment="1">
      <alignment horizontal="center" vertical="center" wrapText="1"/>
    </xf>
    <xf numFmtId="165" fontId="9" fillId="0" borderId="0" xfId="2" applyNumberFormat="1" applyFont="1" applyAlignment="1">
      <alignment horizontal="center" vertical="center"/>
    </xf>
    <xf numFmtId="165" fontId="9" fillId="0" borderId="6" xfId="2" applyNumberFormat="1" applyFont="1" applyBorder="1" applyAlignment="1">
      <alignment horizontal="center" vertical="center"/>
    </xf>
    <xf numFmtId="165" fontId="9" fillId="0" borderId="0" xfId="2" applyNumberFormat="1" applyFont="1" applyAlignment="1">
      <alignment horizontal="center"/>
    </xf>
    <xf numFmtId="165" fontId="1" fillId="4" borderId="5" xfId="2" applyNumberFormat="1" applyFont="1" applyFill="1" applyBorder="1" applyAlignment="1">
      <alignment horizontal="center" vertical="center"/>
    </xf>
    <xf numFmtId="165" fontId="0" fillId="0" borderId="2" xfId="2" applyNumberFormat="1" applyFont="1" applyBorder="1" applyAlignment="1">
      <alignment horizontal="center" vertical="center"/>
    </xf>
    <xf numFmtId="165" fontId="1" fillId="3" borderId="6" xfId="2" applyNumberFormat="1" applyFont="1" applyFill="1" applyBorder="1" applyAlignment="1">
      <alignment horizontal="center" vertical="center"/>
    </xf>
    <xf numFmtId="165" fontId="1" fillId="3" borderId="5" xfId="2" applyNumberFormat="1" applyFont="1" applyFill="1" applyBorder="1" applyAlignment="1">
      <alignment horizontal="center" vertical="center"/>
    </xf>
    <xf numFmtId="0" fontId="9" fillId="0" borderId="1" xfId="0" applyFont="1" applyBorder="1"/>
    <xf numFmtId="43" fontId="1" fillId="4" borderId="6" xfId="0" applyNumberFormat="1" applyFont="1" applyFill="1" applyBorder="1" applyAlignment="1">
      <alignment horizontal="left" vertical="center"/>
    </xf>
    <xf numFmtId="43" fontId="7" fillId="4" borderId="6" xfId="0" applyNumberFormat="1" applyFont="1" applyFill="1" applyBorder="1" applyAlignment="1">
      <alignment horizontal="left" vertical="center"/>
    </xf>
    <xf numFmtId="164" fontId="9" fillId="0" borderId="1" xfId="0" applyNumberFormat="1" applyFont="1" applyBorder="1" applyAlignment="1">
      <alignment horizontal="justify" vertical="center"/>
    </xf>
    <xf numFmtId="164" fontId="9" fillId="0" borderId="1" xfId="0" applyNumberFormat="1" applyFont="1" applyBorder="1"/>
    <xf numFmtId="4" fontId="7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3" fontId="7" fillId="3" borderId="1" xfId="1" applyFont="1" applyFill="1" applyBorder="1" applyAlignment="1">
      <alignment vertical="center"/>
    </xf>
    <xf numFmtId="4" fontId="7" fillId="4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43" fontId="1" fillId="4" borderId="1" xfId="1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4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4" fillId="0" borderId="1" xfId="0" applyNumberFormat="1" applyFont="1" applyBorder="1" applyAlignment="1"/>
    <xf numFmtId="0" fontId="9" fillId="0" borderId="1" xfId="0" applyFont="1" applyBorder="1" applyAlignment="1"/>
    <xf numFmtId="0" fontId="10" fillId="6" borderId="0" xfId="0" applyFont="1" applyFill="1" applyAlignment="1">
      <alignment horizontal="center" vertical="center"/>
    </xf>
    <xf numFmtId="43" fontId="10" fillId="6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right" vertical="center" indent="1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7" fillId="7" borderId="1" xfId="1" applyNumberFormat="1" applyFont="1" applyFill="1" applyBorder="1" applyAlignment="1">
      <alignment horizontal="center" vertical="center" wrapText="1"/>
    </xf>
    <xf numFmtId="164" fontId="7" fillId="7" borderId="4" xfId="1" applyNumberFormat="1" applyFont="1" applyFill="1" applyBorder="1" applyAlignment="1">
      <alignment horizontal="center" vertical="center" wrapText="1"/>
    </xf>
    <xf numFmtId="164" fontId="1" fillId="8" borderId="7" xfId="0" applyNumberFormat="1" applyFont="1" applyFill="1" applyBorder="1" applyAlignment="1">
      <alignment horizontal="center" vertical="center"/>
    </xf>
    <xf numFmtId="164" fontId="1" fillId="8" borderId="5" xfId="0" applyNumberFormat="1" applyFont="1" applyFill="1" applyBorder="1" applyAlignment="1">
      <alignment horizontal="center" vertical="center"/>
    </xf>
    <xf numFmtId="164" fontId="1" fillId="8" borderId="6" xfId="0" applyNumberFormat="1" applyFont="1" applyFill="1" applyBorder="1" applyAlignment="1">
      <alignment horizontal="center" vertical="center"/>
    </xf>
    <xf numFmtId="164" fontId="1" fillId="8" borderId="4" xfId="0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1_Or&#231;amento_Grupo%20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1_Or&#231;amento_Grupo%2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>
        <row r="10">
          <cell r="E10">
            <v>21258222.689126469</v>
          </cell>
        </row>
      </sheetData>
      <sheetData sheetId="1"/>
      <sheetData sheetId="2">
        <row r="11">
          <cell r="B11">
            <v>600000</v>
          </cell>
        </row>
      </sheetData>
      <sheetData sheetId="3"/>
      <sheetData sheetId="4">
        <row r="5">
          <cell r="F5">
            <v>1000420</v>
          </cell>
        </row>
        <row r="10">
          <cell r="F10">
            <v>7719047.3553283336</v>
          </cell>
        </row>
        <row r="14">
          <cell r="F14">
            <v>1328469.2849999999</v>
          </cell>
        </row>
        <row r="21">
          <cell r="F21">
            <v>708676.60151037038</v>
          </cell>
        </row>
        <row r="35">
          <cell r="F35">
            <v>291689.71999999997</v>
          </cell>
        </row>
        <row r="36">
          <cell r="F36">
            <v>415676.04999999993</v>
          </cell>
        </row>
        <row r="37">
          <cell r="F37">
            <v>21495.31</v>
          </cell>
        </row>
        <row r="38">
          <cell r="F38">
            <v>213224.22084159299</v>
          </cell>
        </row>
      </sheetData>
      <sheetData sheetId="5">
        <row r="5">
          <cell r="G5">
            <v>1754860.8656343154</v>
          </cell>
        </row>
        <row r="30">
          <cell r="G30">
            <v>82341.493009701066</v>
          </cell>
        </row>
        <row r="46">
          <cell r="G46">
            <v>219080.38829712648</v>
          </cell>
        </row>
        <row r="58">
          <cell r="G58">
            <v>735598.36228364496</v>
          </cell>
        </row>
        <row r="68">
          <cell r="G68">
            <v>74206.830309876575</v>
          </cell>
        </row>
        <row r="124">
          <cell r="G124">
            <v>811207.02574750676</v>
          </cell>
        </row>
        <row r="131">
          <cell r="G131">
            <v>164281.63477749706</v>
          </cell>
        </row>
        <row r="135">
          <cell r="G135">
            <v>771323.94065004145</v>
          </cell>
        </row>
        <row r="142">
          <cell r="G142">
            <v>874295.58267384511</v>
          </cell>
        </row>
        <row r="150">
          <cell r="G150">
            <v>838876.51954124798</v>
          </cell>
        </row>
        <row r="158">
          <cell r="G158">
            <v>392791.4753108304</v>
          </cell>
        </row>
        <row r="163">
          <cell r="G163">
            <v>112991.529614959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 refreshError="1"/>
      <sheetData sheetId="1" refreshError="1"/>
      <sheetData sheetId="2">
        <row r="11">
          <cell r="B11">
            <v>600000</v>
          </cell>
        </row>
      </sheetData>
      <sheetData sheetId="3" refreshError="1"/>
      <sheetData sheetId="4" refreshError="1"/>
      <sheetData sheetId="5">
        <row r="5">
          <cell r="G5">
            <v>2330710.6545402175</v>
          </cell>
        </row>
        <row r="110">
          <cell r="G110">
            <v>330952.48258716421</v>
          </cell>
        </row>
        <row r="126">
          <cell r="G126">
            <v>354590.37569638347</v>
          </cell>
        </row>
      </sheetData>
      <sheetData sheetId="6" refreshError="1"/>
      <sheetData sheetId="7">
        <row r="9">
          <cell r="A9" t="str">
            <v>Subitem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2"/>
  <sheetViews>
    <sheetView showGridLines="0" tabSelected="1" view="pageBreakPreview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2" sqref="A2"/>
      <selection pane="bottomRight" activeCell="B9" sqref="B9"/>
    </sheetView>
  </sheetViews>
  <sheetFormatPr defaultRowHeight="15" outlineLevelRow="2" x14ac:dyDescent="0.25"/>
  <cols>
    <col min="1" max="1" width="18.28515625" style="9" customWidth="1"/>
    <col min="2" max="2" width="101.28515625" style="15" customWidth="1"/>
    <col min="3" max="6" width="19" style="1" customWidth="1"/>
    <col min="7" max="7" width="19" style="15" customWidth="1"/>
    <col min="8" max="8" width="19" style="1" customWidth="1"/>
    <col min="9" max="9" width="20.7109375" style="1" hidden="1" customWidth="1"/>
    <col min="10" max="16384" width="9.140625" style="1"/>
  </cols>
  <sheetData>
    <row r="1" spans="1:9" ht="26.25" customHeight="1" x14ac:dyDescent="0.25">
      <c r="A1" s="95" t="s">
        <v>177</v>
      </c>
      <c r="C1" s="93"/>
      <c r="D1" s="96" t="s">
        <v>176</v>
      </c>
      <c r="E1" s="96"/>
      <c r="F1" s="96"/>
    </row>
    <row r="2" spans="1:9" x14ac:dyDescent="0.25">
      <c r="C2" s="94">
        <f>[1]Resumo!$E$10</f>
        <v>21258222.689126469</v>
      </c>
      <c r="D2" s="96"/>
      <c r="E2" s="96"/>
      <c r="F2" s="96"/>
    </row>
    <row r="3" spans="1:9" ht="11.25" customHeight="1" x14ac:dyDescent="0.25">
      <c r="B3" s="95"/>
      <c r="C3" s="94">
        <f>C9+C32+C72+C134+C141+C148+C159+C163+C172</f>
        <v>18487627.763814434</v>
      </c>
      <c r="G3" s="53"/>
    </row>
    <row r="4" spans="1:9" ht="11.25" customHeight="1" x14ac:dyDescent="0.25">
      <c r="A4" s="95"/>
      <c r="B4" s="95"/>
      <c r="C4" s="94">
        <f>C2-C3</f>
        <v>2770594.9253120348</v>
      </c>
      <c r="G4" s="53"/>
    </row>
    <row r="5" spans="1:9" ht="15" customHeight="1" x14ac:dyDescent="0.25">
      <c r="C5" s="100" t="s">
        <v>172</v>
      </c>
      <c r="D5" s="102" t="s">
        <v>173</v>
      </c>
      <c r="E5" s="103"/>
      <c r="F5" s="103"/>
      <c r="G5" s="103"/>
      <c r="H5" s="104"/>
    </row>
    <row r="6" spans="1:9" ht="66" customHeight="1" x14ac:dyDescent="0.25">
      <c r="B6" s="9"/>
      <c r="C6" s="101"/>
      <c r="D6" s="105" t="s">
        <v>167</v>
      </c>
      <c r="E6" s="106" t="s">
        <v>168</v>
      </c>
      <c r="F6" s="106" t="s">
        <v>169</v>
      </c>
      <c r="G6" s="105" t="s">
        <v>174</v>
      </c>
      <c r="H6" s="107" t="s">
        <v>175</v>
      </c>
      <c r="I6" s="46"/>
    </row>
    <row r="7" spans="1:9" s="2" customFormat="1" ht="18" customHeight="1" x14ac:dyDescent="0.25">
      <c r="A7" s="97" t="s">
        <v>171</v>
      </c>
      <c r="B7" s="97"/>
      <c r="C7" s="98">
        <f>C9+C32+C72+C82+C93+C102+C111+C134+C141+C148+C159+C163+C172</f>
        <v>21258222.689126469</v>
      </c>
      <c r="D7" s="98">
        <f>SUBTOTAL(9,D9,D32,D72,D82,D93,D102,D111,D134,D141,D148,D159,D163,D172)</f>
        <v>19337332.5</v>
      </c>
      <c r="E7" s="98">
        <f>SUBTOTAL(9,E9,E32,E72,E82,E93,E102,E111,E134,E141,E148,E159,E163,E172)</f>
        <v>28385247.000000004</v>
      </c>
      <c r="F7" s="98">
        <f>SUBTOTAL(9,F9,F32,F72,F82,F93,F102,F111,F134,F141,F148,F159,F163,F172)</f>
        <v>25242309.155860163</v>
      </c>
      <c r="G7" s="98">
        <f>SUBTOTAL(9,G9,G32,G72,G82,G93,G102,G111,G134,G141,G148,G159,G163,G172)</f>
        <v>10119986.944843374</v>
      </c>
      <c r="H7" s="99">
        <f>AVERAGE(D7:F7)</f>
        <v>24321629.551953387</v>
      </c>
      <c r="I7" s="47"/>
    </row>
    <row r="8" spans="1:9" ht="60.75" customHeight="1" x14ac:dyDescent="0.25">
      <c r="A8" s="10" t="s">
        <v>4</v>
      </c>
      <c r="B8" s="10" t="s">
        <v>22</v>
      </c>
      <c r="C8" s="34"/>
      <c r="D8" s="4" t="s">
        <v>157</v>
      </c>
      <c r="E8" s="4" t="s">
        <v>157</v>
      </c>
      <c r="F8" s="4" t="s">
        <v>157</v>
      </c>
      <c r="G8" s="24" t="s">
        <v>157</v>
      </c>
      <c r="H8" s="4" t="s">
        <v>157</v>
      </c>
      <c r="I8" s="34" t="s">
        <v>170</v>
      </c>
    </row>
    <row r="9" spans="1:9" s="2" customFormat="1" x14ac:dyDescent="0.25">
      <c r="A9" s="11">
        <v>1</v>
      </c>
      <c r="B9" s="16" t="s">
        <v>6</v>
      </c>
      <c r="C9" s="35">
        <f>'[1]Parte A'!$F$5+'[1]Parte B'!$G$5</f>
        <v>2755280.8656343156</v>
      </c>
      <c r="D9" s="70">
        <f>SUM(D10,D18,D22,D26)</f>
        <v>2732184</v>
      </c>
      <c r="E9" s="71">
        <v>6812459.2800000003</v>
      </c>
      <c r="F9" s="33">
        <v>6675031.9114448978</v>
      </c>
      <c r="G9" s="69">
        <f>SUM(G10,G18,G22,G26)</f>
        <v>1593784.0884832614</v>
      </c>
      <c r="H9" s="39">
        <f>AVERAGE(D9:F9)</f>
        <v>5406558.3971483</v>
      </c>
      <c r="I9" s="48">
        <f>I10+I18+I22+I26</f>
        <v>1</v>
      </c>
    </row>
    <row r="10" spans="1:9" s="2" customFormat="1" x14ac:dyDescent="0.25">
      <c r="A10" s="12" t="s">
        <v>115</v>
      </c>
      <c r="B10" s="17" t="s">
        <v>7</v>
      </c>
      <c r="C10" s="52">
        <f>$C$9*I10</f>
        <v>96434.830297201057</v>
      </c>
      <c r="D10" s="73">
        <f>SUM(D11:D17)</f>
        <v>105084</v>
      </c>
      <c r="E10" s="74">
        <v>851557.40999999992</v>
      </c>
      <c r="F10" s="3"/>
      <c r="G10" s="72">
        <v>159378.40884832619</v>
      </c>
      <c r="H10" s="3"/>
      <c r="I10" s="49">
        <f>SUM(I11:I17)</f>
        <v>3.5000000000000003E-2</v>
      </c>
    </row>
    <row r="11" spans="1:9" ht="30" hidden="1" outlineLevel="1" x14ac:dyDescent="0.25">
      <c r="A11" s="13"/>
      <c r="B11" s="18" t="s">
        <v>63</v>
      </c>
      <c r="C11" s="22">
        <f>$C$9*I11</f>
        <v>13776.404328171579</v>
      </c>
      <c r="D11" s="76">
        <v>15012</v>
      </c>
      <c r="E11" s="77"/>
      <c r="F11" s="26"/>
      <c r="G11" s="75"/>
      <c r="H11" s="26"/>
      <c r="I11" s="50">
        <v>5.0000000000000001E-3</v>
      </c>
    </row>
    <row r="12" spans="1:9" hidden="1" outlineLevel="1" x14ac:dyDescent="0.25">
      <c r="A12" s="13"/>
      <c r="B12" s="6" t="s">
        <v>83</v>
      </c>
      <c r="C12" s="22">
        <f>$C$9*I12</f>
        <v>13776.404328171579</v>
      </c>
      <c r="D12" s="76">
        <v>15012</v>
      </c>
      <c r="E12" s="79"/>
      <c r="F12" s="27"/>
      <c r="G12" s="78"/>
      <c r="H12" s="27"/>
      <c r="I12" s="50">
        <v>5.0000000000000001E-3</v>
      </c>
    </row>
    <row r="13" spans="1:9" hidden="1" outlineLevel="1" x14ac:dyDescent="0.25">
      <c r="A13" s="13"/>
      <c r="B13" s="6" t="s">
        <v>84</v>
      </c>
      <c r="C13" s="22">
        <f>$C$9*I13</f>
        <v>13776.404328171579</v>
      </c>
      <c r="D13" s="76">
        <v>15012</v>
      </c>
      <c r="E13" s="79"/>
      <c r="F13" s="27"/>
      <c r="G13" s="78"/>
      <c r="H13" s="27"/>
      <c r="I13" s="50">
        <v>5.0000000000000001E-3</v>
      </c>
    </row>
    <row r="14" spans="1:9" hidden="1" outlineLevel="1" x14ac:dyDescent="0.25">
      <c r="A14" s="13"/>
      <c r="B14" s="6" t="s">
        <v>85</v>
      </c>
      <c r="C14" s="22">
        <f>$C$9*I14</f>
        <v>13776.404328171579</v>
      </c>
      <c r="D14" s="76">
        <v>15012</v>
      </c>
      <c r="E14" s="79"/>
      <c r="F14" s="27"/>
      <c r="G14" s="78"/>
      <c r="H14" s="27"/>
      <c r="I14" s="50">
        <v>5.0000000000000001E-3</v>
      </c>
    </row>
    <row r="15" spans="1:9" s="2" customFormat="1" hidden="1" outlineLevel="1" x14ac:dyDescent="0.25">
      <c r="A15" s="13"/>
      <c r="B15" s="6" t="s">
        <v>86</v>
      </c>
      <c r="C15" s="22">
        <f>$C$9*I15</f>
        <v>13776.404328171579</v>
      </c>
      <c r="D15" s="76">
        <v>15012</v>
      </c>
      <c r="E15" s="79"/>
      <c r="F15" s="27"/>
      <c r="G15" s="78"/>
      <c r="H15" s="27"/>
      <c r="I15" s="50">
        <v>5.0000000000000001E-3</v>
      </c>
    </row>
    <row r="16" spans="1:9" hidden="1" outlineLevel="1" x14ac:dyDescent="0.25">
      <c r="A16" s="13"/>
      <c r="B16" s="6" t="s">
        <v>87</v>
      </c>
      <c r="C16" s="22">
        <f>$C$9*I16</f>
        <v>13776.404328171579</v>
      </c>
      <c r="D16" s="76">
        <v>15012</v>
      </c>
      <c r="E16" s="79"/>
      <c r="F16" s="27"/>
      <c r="G16" s="78"/>
      <c r="H16" s="27"/>
      <c r="I16" s="50">
        <v>5.0000000000000001E-3</v>
      </c>
    </row>
    <row r="17" spans="1:9" hidden="1" outlineLevel="1" x14ac:dyDescent="0.25">
      <c r="A17" s="13"/>
      <c r="B17" s="6" t="s">
        <v>88</v>
      </c>
      <c r="C17" s="22">
        <f>$C$9*I17</f>
        <v>13776.404328171579</v>
      </c>
      <c r="D17" s="76">
        <v>15012</v>
      </c>
      <c r="E17" s="79"/>
      <c r="F17" s="27"/>
      <c r="G17" s="78"/>
      <c r="H17" s="27"/>
      <c r="I17" s="50">
        <v>5.0000000000000001E-3</v>
      </c>
    </row>
    <row r="18" spans="1:9" collapsed="1" x14ac:dyDescent="0.25">
      <c r="A18" s="12" t="s">
        <v>116</v>
      </c>
      <c r="B18" s="17" t="s">
        <v>64</v>
      </c>
      <c r="C18" s="52">
        <f>$C$9*I18</f>
        <v>1294982.0068481283</v>
      </c>
      <c r="D18" s="73">
        <f>SUM(D19:D21)</f>
        <v>1951560</v>
      </c>
      <c r="E18" s="74">
        <v>1986967.2900000003</v>
      </c>
      <c r="F18" s="3"/>
      <c r="G18" s="72">
        <v>478135.22654497845</v>
      </c>
      <c r="H18" s="3"/>
      <c r="I18" s="49">
        <f>SUM(I19:I21)</f>
        <v>0.47</v>
      </c>
    </row>
    <row r="19" spans="1:9" ht="60" hidden="1" outlineLevel="1" x14ac:dyDescent="0.25">
      <c r="A19" s="13"/>
      <c r="B19" s="19" t="s">
        <v>65</v>
      </c>
      <c r="C19" s="22">
        <f>$C$9*I19</f>
        <v>991901.1116283536</v>
      </c>
      <c r="D19" s="76">
        <v>1782675</v>
      </c>
      <c r="E19" s="81"/>
      <c r="F19" s="28"/>
      <c r="G19" s="80"/>
      <c r="H19" s="28"/>
      <c r="I19" s="51">
        <v>0.36</v>
      </c>
    </row>
    <row r="20" spans="1:9" ht="75" hidden="1" outlineLevel="1" x14ac:dyDescent="0.25">
      <c r="A20" s="13"/>
      <c r="B20" s="19" t="s">
        <v>66</v>
      </c>
      <c r="C20" s="22">
        <f>$C$9*I20</f>
        <v>165316.85193805894</v>
      </c>
      <c r="D20" s="76">
        <v>84442.5</v>
      </c>
      <c r="E20" s="81"/>
      <c r="F20" s="28"/>
      <c r="G20" s="80"/>
      <c r="H20" s="28"/>
      <c r="I20" s="51">
        <v>0.06</v>
      </c>
    </row>
    <row r="21" spans="1:9" ht="60" hidden="1" outlineLevel="1" x14ac:dyDescent="0.25">
      <c r="A21" s="13"/>
      <c r="B21" s="19" t="s">
        <v>67</v>
      </c>
      <c r="C21" s="22">
        <f>$C$9*I21</f>
        <v>137764.0432817158</v>
      </c>
      <c r="D21" s="76">
        <v>84442.5</v>
      </c>
      <c r="E21" s="81"/>
      <c r="F21" s="28"/>
      <c r="G21" s="80"/>
      <c r="H21" s="28"/>
      <c r="I21" s="51">
        <v>0.05</v>
      </c>
    </row>
    <row r="22" spans="1:9" collapsed="1" x14ac:dyDescent="0.25">
      <c r="A22" s="12" t="s">
        <v>117</v>
      </c>
      <c r="B22" s="17" t="s">
        <v>68</v>
      </c>
      <c r="C22" s="52">
        <f>$C$9*I22</f>
        <v>650246.28428969858</v>
      </c>
      <c r="D22" s="73">
        <f>SUM(D23:D25)</f>
        <v>253327.5</v>
      </c>
      <c r="E22" s="74">
        <v>1986967.2900000003</v>
      </c>
      <c r="F22" s="3"/>
      <c r="G22" s="72">
        <v>478135.22654497845</v>
      </c>
      <c r="H22" s="3"/>
      <c r="I22" s="49">
        <f>I23+I24+I25</f>
        <v>0.23600000000000002</v>
      </c>
    </row>
    <row r="23" spans="1:9" ht="30" hidden="1" outlineLevel="1" x14ac:dyDescent="0.25">
      <c r="A23" s="13"/>
      <c r="B23" s="20" t="s">
        <v>69</v>
      </c>
      <c r="C23" s="22">
        <f>$C$9*I23</f>
        <v>275528.0865634316</v>
      </c>
      <c r="D23" s="76">
        <v>84442.5</v>
      </c>
      <c r="E23" s="82"/>
      <c r="F23" s="29"/>
      <c r="G23" s="75"/>
      <c r="H23" s="29"/>
      <c r="I23" s="51">
        <v>0.1</v>
      </c>
    </row>
    <row r="24" spans="1:9" ht="60" hidden="1" outlineLevel="1" x14ac:dyDescent="0.25">
      <c r="A24" s="13"/>
      <c r="B24" s="20" t="s">
        <v>70</v>
      </c>
      <c r="C24" s="22">
        <f>$C$9*I24</f>
        <v>192869.66059440211</v>
      </c>
      <c r="D24" s="76">
        <v>84442.5</v>
      </c>
      <c r="E24" s="82"/>
      <c r="F24" s="29"/>
      <c r="G24" s="75"/>
      <c r="H24" s="29"/>
      <c r="I24" s="51">
        <v>7.0000000000000007E-2</v>
      </c>
    </row>
    <row r="25" spans="1:9" ht="30" hidden="1" outlineLevel="1" x14ac:dyDescent="0.25">
      <c r="A25" s="13"/>
      <c r="B25" s="20" t="s">
        <v>71</v>
      </c>
      <c r="C25" s="22">
        <f>$C$9*I25</f>
        <v>181848.53713186484</v>
      </c>
      <c r="D25" s="76">
        <v>84442.5</v>
      </c>
      <c r="E25" s="82"/>
      <c r="F25" s="29"/>
      <c r="G25" s="75"/>
      <c r="H25" s="29"/>
      <c r="I25" s="51">
        <v>6.6000000000000003E-2</v>
      </c>
    </row>
    <row r="26" spans="1:9" collapsed="1" x14ac:dyDescent="0.25">
      <c r="A26" s="12" t="s">
        <v>118</v>
      </c>
      <c r="B26" s="17" t="s">
        <v>72</v>
      </c>
      <c r="C26" s="52">
        <f>$C$9*I26</f>
        <v>713617.74419928773</v>
      </c>
      <c r="D26" s="73">
        <f>SUM(D27:D31)</f>
        <v>422212.5</v>
      </c>
      <c r="E26" s="74">
        <v>1986967.2900000003</v>
      </c>
      <c r="F26" s="3"/>
      <c r="G26" s="72">
        <v>478135.22654497845</v>
      </c>
      <c r="H26" s="3"/>
      <c r="I26" s="49">
        <f>I27+I28+I29+I30+I31</f>
        <v>0.25900000000000001</v>
      </c>
    </row>
    <row r="27" spans="1:9" ht="60" hidden="1" outlineLevel="1" x14ac:dyDescent="0.25">
      <c r="A27" s="13"/>
      <c r="B27" s="20" t="s">
        <v>73</v>
      </c>
      <c r="C27" s="22">
        <f>$C$9*I27</f>
        <v>206646.06492257366</v>
      </c>
      <c r="D27" s="76">
        <v>84442.5</v>
      </c>
      <c r="E27" s="82"/>
      <c r="F27" s="29"/>
      <c r="G27" s="75"/>
      <c r="H27" s="29"/>
      <c r="I27" s="50">
        <v>7.4999999999999997E-2</v>
      </c>
    </row>
    <row r="28" spans="1:9" ht="60" hidden="1" outlineLevel="1" x14ac:dyDescent="0.25">
      <c r="A28" s="13"/>
      <c r="B28" s="20" t="s">
        <v>74</v>
      </c>
      <c r="C28" s="22">
        <f>$C$9*I28</f>
        <v>206646.06492257366</v>
      </c>
      <c r="D28" s="76">
        <v>84442.5</v>
      </c>
      <c r="E28" s="82"/>
      <c r="F28" s="29"/>
      <c r="G28" s="75"/>
      <c r="H28" s="29"/>
      <c r="I28" s="50">
        <v>7.4999999999999997E-2</v>
      </c>
    </row>
    <row r="29" spans="1:9" ht="30" hidden="1" outlineLevel="1" x14ac:dyDescent="0.25">
      <c r="A29" s="13"/>
      <c r="B29" s="20" t="s">
        <v>75</v>
      </c>
      <c r="C29" s="22">
        <f>$C$9*I29</f>
        <v>137764.0432817158</v>
      </c>
      <c r="D29" s="76">
        <v>84442.5</v>
      </c>
      <c r="E29" s="82"/>
      <c r="F29" s="29"/>
      <c r="G29" s="75"/>
      <c r="H29" s="29"/>
      <c r="I29" s="50">
        <v>0.05</v>
      </c>
    </row>
    <row r="30" spans="1:9" ht="30" hidden="1" outlineLevel="1" x14ac:dyDescent="0.25">
      <c r="A30" s="13"/>
      <c r="B30" s="20" t="s">
        <v>76</v>
      </c>
      <c r="C30" s="22">
        <f>$C$9*I30</f>
        <v>82658.425969029471</v>
      </c>
      <c r="D30" s="76">
        <v>84442.5</v>
      </c>
      <c r="E30" s="82"/>
      <c r="F30" s="29"/>
      <c r="G30" s="75"/>
      <c r="H30" s="29"/>
      <c r="I30" s="50">
        <v>0.03</v>
      </c>
    </row>
    <row r="31" spans="1:9" ht="30" hidden="1" outlineLevel="1" x14ac:dyDescent="0.25">
      <c r="A31" s="13"/>
      <c r="B31" s="20" t="s">
        <v>77</v>
      </c>
      <c r="C31" s="22">
        <f>$C$9*I31</f>
        <v>79903.14510339516</v>
      </c>
      <c r="D31" s="76">
        <v>84442.5</v>
      </c>
      <c r="E31" s="82"/>
      <c r="F31" s="29"/>
      <c r="G31" s="75"/>
      <c r="H31" s="29"/>
      <c r="I31" s="50">
        <v>2.9000000000000001E-2</v>
      </c>
    </row>
    <row r="32" spans="1:9" s="2" customFormat="1" collapsed="1" x14ac:dyDescent="0.25">
      <c r="A32" s="11">
        <v>2</v>
      </c>
      <c r="B32" s="16" t="s">
        <v>1</v>
      </c>
      <c r="C32" s="39">
        <f>SUM(C33:C69)</f>
        <v>10324891.968898382</v>
      </c>
      <c r="D32" s="70">
        <f>SUM(D33,D42,D44,D52,D54,D59,D62,D65,D67,D69)</f>
        <v>8138380.5</v>
      </c>
      <c r="E32" s="71">
        <v>5960901.8700000001</v>
      </c>
      <c r="F32" s="33">
        <v>10887582.784398368</v>
      </c>
      <c r="G32" s="69">
        <f>SUM(G33,G42,G44,G52,G54,G59,G62,G65,G67,G69)</f>
        <v>2132242.2084159339</v>
      </c>
      <c r="H32" s="39">
        <f>AVERAGE(D32:F32)</f>
        <v>8328955.0514661223</v>
      </c>
      <c r="I32" s="62">
        <f>SUM(I33,I42,I44,I52,I54,I59,I62,I65,I67,I69)</f>
        <v>1</v>
      </c>
    </row>
    <row r="33" spans="1:9" x14ac:dyDescent="0.25">
      <c r="A33" s="12" t="s">
        <v>119</v>
      </c>
      <c r="B33" s="17" t="s">
        <v>7</v>
      </c>
      <c r="C33" s="65">
        <f>((SUM(C42:C44,C54:C64)/0.985)+(SUM(C65:C67)/0.835))*0.015</f>
        <v>152325.88429093207</v>
      </c>
      <c r="D33" s="73">
        <f>SUM(D34:D41)</f>
        <v>120096</v>
      </c>
      <c r="E33" s="74">
        <v>425778.70499999996</v>
      </c>
      <c r="F33" s="3"/>
      <c r="G33" s="72">
        <v>213224.2208415934</v>
      </c>
      <c r="H33" s="3"/>
      <c r="I33" s="49">
        <f>C33/$C$32</f>
        <v>1.4753266644317687E-2</v>
      </c>
    </row>
    <row r="34" spans="1:9" ht="15" hidden="1" customHeight="1" outlineLevel="1" x14ac:dyDescent="0.25">
      <c r="A34" s="13"/>
      <c r="B34" s="6" t="s">
        <v>104</v>
      </c>
      <c r="C34" s="38"/>
      <c r="D34" s="83">
        <v>15012</v>
      </c>
      <c r="E34" s="79"/>
      <c r="F34" s="27"/>
      <c r="G34" s="78"/>
      <c r="H34" s="38"/>
      <c r="I34" s="38"/>
    </row>
    <row r="35" spans="1:9" ht="15" hidden="1" customHeight="1" outlineLevel="1" x14ac:dyDescent="0.25">
      <c r="A35" s="13"/>
      <c r="B35" s="6" t="s">
        <v>0</v>
      </c>
      <c r="C35" s="38"/>
      <c r="D35" s="83">
        <v>15012</v>
      </c>
      <c r="E35" s="79"/>
      <c r="F35" s="27"/>
      <c r="G35" s="78"/>
      <c r="H35" s="38"/>
      <c r="I35" s="38"/>
    </row>
    <row r="36" spans="1:9" ht="15" hidden="1" customHeight="1" outlineLevel="1" x14ac:dyDescent="0.25">
      <c r="A36" s="13"/>
      <c r="B36" s="6" t="s">
        <v>105</v>
      </c>
      <c r="C36" s="40"/>
      <c r="D36" s="78">
        <v>15012</v>
      </c>
      <c r="E36" s="84"/>
      <c r="F36" s="6"/>
      <c r="G36" s="78"/>
      <c r="H36" s="40"/>
      <c r="I36" s="40"/>
    </row>
    <row r="37" spans="1:9" ht="15" hidden="1" customHeight="1" outlineLevel="1" x14ac:dyDescent="0.25">
      <c r="A37" s="13"/>
      <c r="B37" s="6" t="s">
        <v>89</v>
      </c>
      <c r="C37" s="38"/>
      <c r="D37" s="83">
        <v>15012</v>
      </c>
      <c r="E37" s="79"/>
      <c r="F37" s="27"/>
      <c r="G37" s="78"/>
      <c r="H37" s="38"/>
      <c r="I37" s="38"/>
    </row>
    <row r="38" spans="1:9" ht="15" hidden="1" customHeight="1" outlineLevel="1" x14ac:dyDescent="0.25">
      <c r="A38" s="13"/>
      <c r="B38" s="6" t="s">
        <v>5</v>
      </c>
      <c r="C38" s="38"/>
      <c r="D38" s="83">
        <v>15012</v>
      </c>
      <c r="E38" s="79"/>
      <c r="F38" s="27"/>
      <c r="G38" s="78"/>
      <c r="H38" s="38"/>
      <c r="I38" s="38"/>
    </row>
    <row r="39" spans="1:9" ht="15" hidden="1" customHeight="1" outlineLevel="1" x14ac:dyDescent="0.25">
      <c r="A39" s="13"/>
      <c r="B39" s="6" t="s">
        <v>106</v>
      </c>
      <c r="C39" s="40"/>
      <c r="D39" s="78">
        <v>15012</v>
      </c>
      <c r="E39" s="84"/>
      <c r="F39" s="6"/>
      <c r="G39" s="78"/>
      <c r="H39" s="40"/>
      <c r="I39" s="40"/>
    </row>
    <row r="40" spans="1:9" ht="15" hidden="1" customHeight="1" outlineLevel="1" x14ac:dyDescent="0.25">
      <c r="A40" s="13"/>
      <c r="B40" s="6" t="s">
        <v>109</v>
      </c>
      <c r="C40" s="41"/>
      <c r="D40" s="78">
        <v>15012</v>
      </c>
      <c r="E40" s="85"/>
      <c r="F40" s="30"/>
      <c r="G40" s="78"/>
      <c r="H40" s="41"/>
      <c r="I40" s="41"/>
    </row>
    <row r="41" spans="1:9" ht="15" hidden="1" customHeight="1" outlineLevel="1" x14ac:dyDescent="0.25">
      <c r="A41" s="13"/>
      <c r="B41" s="6" t="s">
        <v>113</v>
      </c>
      <c r="C41" s="41"/>
      <c r="D41" s="78">
        <v>15012</v>
      </c>
      <c r="E41" s="85"/>
      <c r="F41" s="30"/>
      <c r="G41" s="78"/>
      <c r="H41" s="41"/>
      <c r="I41" s="41"/>
    </row>
    <row r="42" spans="1:9" collapsed="1" x14ac:dyDescent="0.25">
      <c r="A42" s="12" t="s">
        <v>120</v>
      </c>
      <c r="B42" s="17" t="s">
        <v>104</v>
      </c>
      <c r="C42" s="65">
        <f>'[1]Parte B'!$G$163*0.985</f>
        <v>111296.65667073461</v>
      </c>
      <c r="D42" s="73">
        <f>SUM(D43)</f>
        <v>18765</v>
      </c>
      <c r="E42" s="74">
        <v>141926.23500000002</v>
      </c>
      <c r="F42" s="3"/>
      <c r="G42" s="72">
        <v>42644.844168318676</v>
      </c>
      <c r="H42" s="3"/>
      <c r="I42" s="49">
        <f>C42/$C$32</f>
        <v>1.0779449993858816E-2</v>
      </c>
    </row>
    <row r="43" spans="1:9" ht="23.25" hidden="1" customHeight="1" outlineLevel="2" x14ac:dyDescent="0.25">
      <c r="A43" s="13"/>
      <c r="B43" s="6" t="s">
        <v>19</v>
      </c>
      <c r="C43" s="38"/>
      <c r="D43" s="83">
        <v>18765</v>
      </c>
      <c r="E43" s="79"/>
      <c r="F43" s="27"/>
      <c r="G43" s="78"/>
      <c r="H43" s="38"/>
      <c r="I43" s="38"/>
    </row>
    <row r="44" spans="1:9" s="2" customFormat="1" collapsed="1" x14ac:dyDescent="0.25">
      <c r="A44" s="12" t="s">
        <v>121</v>
      </c>
      <c r="B44" s="17" t="s">
        <v>0</v>
      </c>
      <c r="C44" s="65">
        <f>(('[1]Parte A'!$F$10)-C52)*0.985</f>
        <v>7590176.2225411581</v>
      </c>
      <c r="D44" s="73">
        <f>SUM(D45:D51)</f>
        <v>2157975</v>
      </c>
      <c r="E44" s="74">
        <v>993483.64500000014</v>
      </c>
      <c r="F44" s="3"/>
      <c r="G44" s="72">
        <v>426448.4416831868</v>
      </c>
      <c r="H44" s="3"/>
      <c r="I44" s="49">
        <f>C44/$C$32</f>
        <v>0.73513371814494588</v>
      </c>
    </row>
    <row r="45" spans="1:9" ht="25.5" hidden="1" customHeight="1" outlineLevel="1" x14ac:dyDescent="0.25">
      <c r="A45" s="13"/>
      <c r="B45" s="6" t="s">
        <v>50</v>
      </c>
      <c r="C45" s="38"/>
      <c r="D45" s="83">
        <v>1125900</v>
      </c>
      <c r="E45" s="79"/>
      <c r="F45" s="27"/>
      <c r="G45" s="78"/>
      <c r="H45" s="38"/>
      <c r="I45" s="38"/>
    </row>
    <row r="46" spans="1:9" ht="30" hidden="1" outlineLevel="1" x14ac:dyDescent="0.25">
      <c r="A46" s="13"/>
      <c r="B46" s="18" t="s">
        <v>41</v>
      </c>
      <c r="C46" s="37"/>
      <c r="D46" s="76">
        <v>75060</v>
      </c>
      <c r="E46" s="77"/>
      <c r="F46" s="26"/>
      <c r="G46" s="75"/>
      <c r="H46" s="37"/>
      <c r="I46" s="37"/>
    </row>
    <row r="47" spans="1:9" ht="30" hidden="1" outlineLevel="1" x14ac:dyDescent="0.25">
      <c r="A47" s="13"/>
      <c r="B47" s="18" t="s">
        <v>49</v>
      </c>
      <c r="C47" s="37"/>
      <c r="D47" s="76">
        <v>75060</v>
      </c>
      <c r="E47" s="77"/>
      <c r="F47" s="26"/>
      <c r="G47" s="75"/>
      <c r="H47" s="37"/>
      <c r="I47" s="37"/>
    </row>
    <row r="48" spans="1:9" s="2" customFormat="1" ht="15" hidden="1" customHeight="1" outlineLevel="1" x14ac:dyDescent="0.25">
      <c r="A48" s="14"/>
      <c r="B48" s="21" t="s">
        <v>2</v>
      </c>
      <c r="C48" s="42"/>
      <c r="D48" s="87"/>
      <c r="E48" s="88"/>
      <c r="F48" s="31"/>
      <c r="G48" s="86"/>
      <c r="H48" s="42"/>
      <c r="I48" s="42"/>
    </row>
    <row r="49" spans="1:9" ht="22.5" hidden="1" customHeight="1" outlineLevel="1" x14ac:dyDescent="0.25">
      <c r="A49" s="13"/>
      <c r="B49" s="6" t="s">
        <v>3</v>
      </c>
      <c r="C49" s="38"/>
      <c r="D49" s="83">
        <v>750600</v>
      </c>
      <c r="E49" s="79"/>
      <c r="F49" s="27"/>
      <c r="G49" s="78"/>
      <c r="H49" s="38"/>
      <c r="I49" s="38"/>
    </row>
    <row r="50" spans="1:9" ht="22.5" hidden="1" customHeight="1" outlineLevel="1" x14ac:dyDescent="0.25">
      <c r="A50" s="13"/>
      <c r="B50" s="6" t="s">
        <v>42</v>
      </c>
      <c r="C50" s="38"/>
      <c r="D50" s="83">
        <v>75060</v>
      </c>
      <c r="E50" s="79"/>
      <c r="F50" s="27"/>
      <c r="G50" s="78"/>
      <c r="H50" s="38"/>
      <c r="I50" s="38"/>
    </row>
    <row r="51" spans="1:9" ht="22.5" hidden="1" customHeight="1" outlineLevel="1" x14ac:dyDescent="0.25">
      <c r="A51" s="13"/>
      <c r="B51" s="6" t="s">
        <v>45</v>
      </c>
      <c r="C51" s="38"/>
      <c r="D51" s="83">
        <v>56295</v>
      </c>
      <c r="E51" s="79"/>
      <c r="F51" s="27"/>
      <c r="G51" s="78"/>
      <c r="H51" s="38"/>
      <c r="I51" s="38"/>
    </row>
    <row r="52" spans="1:9" collapsed="1" x14ac:dyDescent="0.25">
      <c r="A52" s="12" t="s">
        <v>122</v>
      </c>
      <c r="B52" s="17" t="s">
        <v>107</v>
      </c>
      <c r="C52" s="52">
        <f>'[1]Parte A'!$F$14*0.01</f>
        <v>13284.692849999999</v>
      </c>
      <c r="D52" s="72">
        <f>SUM(D53)</f>
        <v>46912.5</v>
      </c>
      <c r="E52" s="74">
        <v>141926.23500000002</v>
      </c>
      <c r="F52" s="5"/>
      <c r="G52" s="72">
        <v>63967.266252478017</v>
      </c>
      <c r="H52" s="43"/>
      <c r="I52" s="49">
        <f>C52/$C$32</f>
        <v>1.2866665230026049E-3</v>
      </c>
    </row>
    <row r="53" spans="1:9" ht="24.75" hidden="1" customHeight="1" outlineLevel="1" x14ac:dyDescent="0.25">
      <c r="A53" s="13"/>
      <c r="B53" s="6" t="s">
        <v>108</v>
      </c>
      <c r="C53" s="41"/>
      <c r="D53" s="83">
        <v>46912.5</v>
      </c>
      <c r="E53" s="85"/>
      <c r="F53" s="30"/>
      <c r="G53" s="78"/>
      <c r="H53" s="41"/>
      <c r="I53" s="41"/>
    </row>
    <row r="54" spans="1:9" collapsed="1" x14ac:dyDescent="0.25">
      <c r="A54" s="12" t="s">
        <v>123</v>
      </c>
      <c r="B54" s="17" t="s">
        <v>21</v>
      </c>
      <c r="C54" s="65">
        <f>'[1]Parte A'!$F$21*0.985</f>
        <v>698046.45248771482</v>
      </c>
      <c r="D54" s="73">
        <f>SUM(D55:D58)</f>
        <v>3824307</v>
      </c>
      <c r="E54" s="74">
        <v>993483.64500000014</v>
      </c>
      <c r="F54" s="3"/>
      <c r="G54" s="72">
        <v>319836.33126239007</v>
      </c>
      <c r="H54" s="3"/>
      <c r="I54" s="49">
        <f>C54/$C$32</f>
        <v>6.7608111987073227E-2</v>
      </c>
    </row>
    <row r="55" spans="1:9" ht="20.25" hidden="1" customHeight="1" outlineLevel="1" x14ac:dyDescent="0.25">
      <c r="A55" s="13"/>
      <c r="B55" s="6" t="s">
        <v>38</v>
      </c>
      <c r="C55" s="38"/>
      <c r="D55" s="83">
        <v>15012</v>
      </c>
      <c r="E55" s="79"/>
      <c r="F55" s="27"/>
      <c r="G55" s="78"/>
      <c r="H55" s="38"/>
      <c r="I55" s="38"/>
    </row>
    <row r="56" spans="1:9" ht="20.25" hidden="1" customHeight="1" outlineLevel="1" x14ac:dyDescent="0.25">
      <c r="A56" s="13"/>
      <c r="B56" s="6" t="s">
        <v>39</v>
      </c>
      <c r="C56" s="38"/>
      <c r="D56" s="83">
        <v>3753000</v>
      </c>
      <c r="E56" s="79"/>
      <c r="F56" s="27"/>
      <c r="G56" s="78"/>
      <c r="H56" s="38"/>
      <c r="I56" s="38"/>
    </row>
    <row r="57" spans="1:9" ht="30" hidden="1" outlineLevel="1" x14ac:dyDescent="0.25">
      <c r="A57" s="13"/>
      <c r="B57" s="18" t="s">
        <v>40</v>
      </c>
      <c r="C57" s="37"/>
      <c r="D57" s="76">
        <v>37530</v>
      </c>
      <c r="E57" s="77"/>
      <c r="F57" s="26"/>
      <c r="G57" s="75"/>
      <c r="H57" s="37"/>
      <c r="I57" s="37"/>
    </row>
    <row r="58" spans="1:9" ht="22.5" hidden="1" customHeight="1" outlineLevel="1" x14ac:dyDescent="0.25">
      <c r="A58" s="13"/>
      <c r="B58" s="6" t="s">
        <v>43</v>
      </c>
      <c r="C58" s="38"/>
      <c r="D58" s="83">
        <v>18765</v>
      </c>
      <c r="E58" s="79"/>
      <c r="F58" s="27"/>
      <c r="G58" s="78"/>
      <c r="H58" s="38"/>
      <c r="I58" s="38"/>
    </row>
    <row r="59" spans="1:9" collapsed="1" x14ac:dyDescent="0.25">
      <c r="A59" s="12" t="s">
        <v>124</v>
      </c>
      <c r="B59" s="17" t="s">
        <v>5</v>
      </c>
      <c r="C59" s="65">
        <f>SUM('[1]Parte A'!$F$35:$F$37)*0.985</f>
        <v>717928.16379999998</v>
      </c>
      <c r="D59" s="73">
        <f>SUM(D60:D61)</f>
        <v>619245</v>
      </c>
      <c r="E59" s="74">
        <v>1419262.35</v>
      </c>
      <c r="F59" s="3"/>
      <c r="G59" s="72">
        <v>319836.33126239007</v>
      </c>
      <c r="H59" s="36"/>
      <c r="I59" s="49">
        <f>C59/$C$32</f>
        <v>6.9533721608188367E-2</v>
      </c>
    </row>
    <row r="60" spans="1:9" ht="18" hidden="1" customHeight="1" outlineLevel="1" x14ac:dyDescent="0.25">
      <c r="A60" s="13"/>
      <c r="B60" s="6" t="s">
        <v>44</v>
      </c>
      <c r="C60" s="38"/>
      <c r="D60" s="83">
        <v>562950</v>
      </c>
      <c r="E60" s="79"/>
      <c r="F60" s="27"/>
      <c r="G60" s="78"/>
      <c r="H60" s="38"/>
      <c r="I60" s="38"/>
    </row>
    <row r="61" spans="1:9" ht="30" hidden="1" outlineLevel="1" x14ac:dyDescent="0.25">
      <c r="A61" s="13"/>
      <c r="B61" s="18" t="s">
        <v>30</v>
      </c>
      <c r="C61" s="37"/>
      <c r="D61" s="76">
        <v>56295</v>
      </c>
      <c r="E61" s="77"/>
      <c r="F61" s="26"/>
      <c r="G61" s="75"/>
      <c r="H61" s="37"/>
      <c r="I61" s="37"/>
    </row>
    <row r="62" spans="1:9" collapsed="1" x14ac:dyDescent="0.25">
      <c r="A62" s="12" t="s">
        <v>125</v>
      </c>
      <c r="B62" s="17" t="s">
        <v>36</v>
      </c>
      <c r="C62" s="65">
        <f>'[1]Parte A'!$F$38*0.985</f>
        <v>210025.85752896909</v>
      </c>
      <c r="D62" s="73">
        <f>SUM(D63:D64)</f>
        <v>675540</v>
      </c>
      <c r="E62" s="74">
        <v>283852.47000000003</v>
      </c>
      <c r="F62" s="3"/>
      <c r="G62" s="72">
        <v>213224.22084159299</v>
      </c>
      <c r="H62" s="3"/>
      <c r="I62" s="49">
        <f>C62/$C$32</f>
        <v>2.0341700248450917E-2</v>
      </c>
    </row>
    <row r="63" spans="1:9" ht="30" hidden="1" outlineLevel="1" x14ac:dyDescent="0.25">
      <c r="A63" s="13"/>
      <c r="B63" s="18" t="s">
        <v>46</v>
      </c>
      <c r="C63" s="37"/>
      <c r="D63" s="76">
        <v>562950</v>
      </c>
      <c r="E63" s="77"/>
      <c r="F63" s="26"/>
      <c r="G63" s="75"/>
      <c r="H63" s="37"/>
      <c r="I63" s="37"/>
    </row>
    <row r="64" spans="1:9" hidden="1" outlineLevel="1" x14ac:dyDescent="0.25">
      <c r="A64" s="13"/>
      <c r="B64" s="6" t="s">
        <v>37</v>
      </c>
      <c r="C64" s="38"/>
      <c r="D64" s="76">
        <v>112590</v>
      </c>
      <c r="E64" s="79"/>
      <c r="F64" s="27"/>
      <c r="G64" s="78"/>
      <c r="H64" s="38"/>
      <c r="I64" s="38"/>
    </row>
    <row r="65" spans="1:9" s="2" customFormat="1" collapsed="1" x14ac:dyDescent="0.25">
      <c r="A65" s="12" t="s">
        <v>126</v>
      </c>
      <c r="B65" s="17" t="s">
        <v>109</v>
      </c>
      <c r="C65" s="66">
        <f>'[2]Parte B'!$G$126*0.835</f>
        <v>296082.96370648016</v>
      </c>
      <c r="D65" s="72">
        <f>SUM(D66)</f>
        <v>281475</v>
      </c>
      <c r="E65" s="74">
        <v>709631.17500000005</v>
      </c>
      <c r="F65" s="5"/>
      <c r="G65" s="72">
        <v>213224.2208415934</v>
      </c>
      <c r="H65" s="43"/>
      <c r="I65" s="49">
        <f>C65/$C$32</f>
        <v>2.8676616142654987E-2</v>
      </c>
    </row>
    <row r="66" spans="1:9" hidden="1" outlineLevel="1" x14ac:dyDescent="0.25">
      <c r="A66" s="13"/>
      <c r="B66" s="6" t="s">
        <v>110</v>
      </c>
      <c r="C66" s="41"/>
      <c r="D66" s="76">
        <v>281475</v>
      </c>
      <c r="E66" s="85"/>
      <c r="F66" s="30"/>
      <c r="G66" s="78"/>
      <c r="H66" s="41"/>
      <c r="I66" s="41"/>
    </row>
    <row r="67" spans="1:9" collapsed="1" x14ac:dyDescent="0.25">
      <c r="A67" s="12" t="s">
        <v>127</v>
      </c>
      <c r="B67" s="17" t="s">
        <v>111</v>
      </c>
      <c r="C67" s="66">
        <f>'[2]Parte B'!$G$110*0.835</f>
        <v>276345.32296028209</v>
      </c>
      <c r="D67" s="72">
        <f>SUM(D68)</f>
        <v>281475</v>
      </c>
      <c r="E67" s="74">
        <v>283852.47000000003</v>
      </c>
      <c r="F67" s="5"/>
      <c r="G67" s="72">
        <v>106612.1104207967</v>
      </c>
      <c r="H67" s="43"/>
      <c r="I67" s="49">
        <f>C67/$C$32</f>
        <v>2.6764960233261099E-2</v>
      </c>
    </row>
    <row r="68" spans="1:9" hidden="1" outlineLevel="1" x14ac:dyDescent="0.25">
      <c r="A68" s="13"/>
      <c r="B68" s="6" t="s">
        <v>112</v>
      </c>
      <c r="C68" s="41"/>
      <c r="D68" s="76">
        <v>281475</v>
      </c>
      <c r="E68" s="85"/>
      <c r="F68" s="30"/>
      <c r="G68" s="78"/>
      <c r="H68" s="41"/>
      <c r="I68" s="41"/>
    </row>
    <row r="69" spans="1:9" collapsed="1" x14ac:dyDescent="0.25">
      <c r="A69" s="12" t="s">
        <v>128</v>
      </c>
      <c r="B69" s="17" t="s">
        <v>28</v>
      </c>
      <c r="C69" s="66">
        <f>('[2]Parte B'!$G$126*0.15)+('[2]Parte B'!$G$110*0.15)+'[1]Parte B'!$G$68+'[1]Parte B'!$G$30</f>
        <v>259379.75206210982</v>
      </c>
      <c r="D69" s="73">
        <f>SUM(D70:D71)</f>
        <v>112590</v>
      </c>
      <c r="E69" s="74">
        <v>567704.94000000006</v>
      </c>
      <c r="F69" s="3"/>
      <c r="G69" s="72">
        <v>213224.2208415934</v>
      </c>
      <c r="H69" s="36"/>
      <c r="I69" s="49">
        <f>C69/$C$32</f>
        <v>2.5121788474246325E-2</v>
      </c>
    </row>
    <row r="70" spans="1:9" ht="45" hidden="1" outlineLevel="1" x14ac:dyDescent="0.25">
      <c r="A70" s="13"/>
      <c r="B70" s="18" t="s">
        <v>47</v>
      </c>
      <c r="C70" s="37"/>
      <c r="D70" s="76">
        <v>93825</v>
      </c>
      <c r="E70" s="77"/>
      <c r="F70" s="26"/>
      <c r="G70" s="75"/>
      <c r="H70" s="37"/>
      <c r="I70" s="37"/>
    </row>
    <row r="71" spans="1:9" hidden="1" outlineLevel="1" x14ac:dyDescent="0.25">
      <c r="A71" s="13"/>
      <c r="B71" s="6" t="s">
        <v>28</v>
      </c>
      <c r="C71" s="38"/>
      <c r="D71" s="76">
        <v>18765</v>
      </c>
      <c r="E71" s="79"/>
      <c r="F71" s="27"/>
      <c r="G71" s="78"/>
      <c r="H71" s="38"/>
      <c r="I71" s="38"/>
    </row>
    <row r="72" spans="1:9" collapsed="1" x14ac:dyDescent="0.25">
      <c r="A72" s="11">
        <v>3</v>
      </c>
      <c r="B72" s="16" t="s">
        <v>8</v>
      </c>
      <c r="C72" s="39">
        <f>SUM(C73:C80)</f>
        <v>954678.75058077136</v>
      </c>
      <c r="D72" s="70">
        <f>SUM(D73,D75,D78,D80)</f>
        <v>928867.5</v>
      </c>
      <c r="E72" s="71">
        <v>1277336.115</v>
      </c>
      <c r="F72" s="33">
        <v>1457389.1948968929</v>
      </c>
      <c r="G72" s="69">
        <f>SUM(G73,G75,G78,G80)</f>
        <v>619218.72127922205</v>
      </c>
      <c r="H72" s="39">
        <f>AVERAGE(D72:F72)</f>
        <v>1221197.6032989642</v>
      </c>
      <c r="I72" s="62">
        <f>SUM(I73,I75,I78,I80)</f>
        <v>1</v>
      </c>
    </row>
    <row r="73" spans="1:9" x14ac:dyDescent="0.25">
      <c r="A73" s="12" t="s">
        <v>129</v>
      </c>
      <c r="B73" s="17" t="s">
        <v>7</v>
      </c>
      <c r="C73" s="25">
        <f>'[1]Parte B'!$G$58*0.15</f>
        <v>110339.75434254674</v>
      </c>
      <c r="D73" s="73">
        <f>SUM(D74)</f>
        <v>28147.5</v>
      </c>
      <c r="E73" s="74">
        <v>141926.23500000002</v>
      </c>
      <c r="F73" s="3"/>
      <c r="G73" s="72">
        <v>61921.872127922208</v>
      </c>
      <c r="H73" s="36"/>
      <c r="I73" s="54">
        <f>C73/$C$72</f>
        <v>0.11557788866194248</v>
      </c>
    </row>
    <row r="74" spans="1:9" hidden="1" outlineLevel="1" x14ac:dyDescent="0.25">
      <c r="A74" s="13"/>
      <c r="B74" s="6" t="s">
        <v>24</v>
      </c>
      <c r="C74" s="38"/>
      <c r="D74" s="76">
        <v>28147.5</v>
      </c>
      <c r="E74" s="79"/>
      <c r="F74" s="27"/>
      <c r="G74" s="78"/>
      <c r="H74" s="38"/>
      <c r="I74" s="55"/>
    </row>
    <row r="75" spans="1:9" collapsed="1" x14ac:dyDescent="0.25">
      <c r="A75" s="12" t="s">
        <v>130</v>
      </c>
      <c r="B75" s="17" t="s">
        <v>13</v>
      </c>
      <c r="C75" s="25">
        <f>'[1]Parte B'!$G$46</f>
        <v>219080.38829712648</v>
      </c>
      <c r="D75" s="73">
        <f>SUM(D76:D77)</f>
        <v>750600</v>
      </c>
      <c r="E75" s="74">
        <v>425778.70499999996</v>
      </c>
      <c r="F75" s="3"/>
      <c r="G75" s="72">
        <v>185765.61638376661</v>
      </c>
      <c r="H75" s="65"/>
      <c r="I75" s="54">
        <f>C75/$C$72</f>
        <v>0.2294807422537169</v>
      </c>
    </row>
    <row r="76" spans="1:9" hidden="1" outlineLevel="1" x14ac:dyDescent="0.25">
      <c r="A76" s="13"/>
      <c r="B76" s="6" t="s">
        <v>11</v>
      </c>
      <c r="C76" s="38"/>
      <c r="D76" s="76">
        <v>375300</v>
      </c>
      <c r="E76" s="79"/>
      <c r="F76" s="27"/>
      <c r="G76" s="78"/>
      <c r="H76" s="38"/>
      <c r="I76" s="55"/>
    </row>
    <row r="77" spans="1:9" hidden="1" outlineLevel="1" x14ac:dyDescent="0.25">
      <c r="A77" s="13"/>
      <c r="B77" s="6" t="s">
        <v>12</v>
      </c>
      <c r="C77" s="38"/>
      <c r="D77" s="76">
        <v>375300</v>
      </c>
      <c r="E77" s="79"/>
      <c r="F77" s="27"/>
      <c r="G77" s="78"/>
      <c r="H77" s="38"/>
      <c r="I77" s="55"/>
    </row>
    <row r="78" spans="1:9" collapsed="1" x14ac:dyDescent="0.25">
      <c r="A78" s="12" t="s">
        <v>131</v>
      </c>
      <c r="B78" s="17" t="s">
        <v>14</v>
      </c>
      <c r="C78" s="25">
        <f>'[1]Parte B'!$G$58*0.4</f>
        <v>294239.34491345799</v>
      </c>
      <c r="D78" s="73">
        <f>SUM(D79)</f>
        <v>112590</v>
      </c>
      <c r="E78" s="74">
        <v>425778.70499999996</v>
      </c>
      <c r="F78" s="3"/>
      <c r="G78" s="72">
        <v>185765.61638376661</v>
      </c>
      <c r="H78" s="36"/>
      <c r="I78" s="54">
        <f>C78/$C$72</f>
        <v>0.30820770309851325</v>
      </c>
    </row>
    <row r="79" spans="1:9" hidden="1" outlineLevel="1" x14ac:dyDescent="0.25">
      <c r="A79" s="13"/>
      <c r="B79" s="6" t="s">
        <v>15</v>
      </c>
      <c r="C79" s="38"/>
      <c r="D79" s="76">
        <v>112590</v>
      </c>
      <c r="E79" s="79"/>
      <c r="F79" s="27"/>
      <c r="G79" s="78"/>
      <c r="H79" s="38"/>
      <c r="I79" s="55"/>
    </row>
    <row r="80" spans="1:9" collapsed="1" x14ac:dyDescent="0.25">
      <c r="A80" s="12" t="s">
        <v>132</v>
      </c>
      <c r="B80" s="17" t="s">
        <v>28</v>
      </c>
      <c r="C80" s="25">
        <f>'[1]Parte B'!$G$58*0.45</f>
        <v>331019.26302764023</v>
      </c>
      <c r="D80" s="73">
        <f>SUM(D81)</f>
        <v>37530</v>
      </c>
      <c r="E80" s="74">
        <v>283852.47000000003</v>
      </c>
      <c r="F80" s="3"/>
      <c r="G80" s="72">
        <v>185765.61638376661</v>
      </c>
      <c r="H80" s="36"/>
      <c r="I80" s="54">
        <f>C80/$C$72</f>
        <v>0.34673366598582744</v>
      </c>
    </row>
    <row r="81" spans="1:9" hidden="1" outlineLevel="1" x14ac:dyDescent="0.25">
      <c r="A81" s="13"/>
      <c r="B81" s="6" t="s">
        <v>28</v>
      </c>
      <c r="C81" s="38"/>
      <c r="D81" s="76">
        <v>37530</v>
      </c>
      <c r="E81" s="79"/>
      <c r="F81" s="27"/>
      <c r="G81" s="78"/>
      <c r="H81" s="38"/>
      <c r="I81" s="38"/>
    </row>
    <row r="82" spans="1:9" collapsed="1" x14ac:dyDescent="0.25">
      <c r="A82" s="11">
        <v>4</v>
      </c>
      <c r="B82" s="16" t="s">
        <v>9</v>
      </c>
      <c r="C82" s="39">
        <f>C4*0.1</f>
        <v>277059.49253120349</v>
      </c>
      <c r="D82" s="70">
        <f>SUM(D83,D87,D89,D91)</f>
        <v>116343</v>
      </c>
      <c r="E82" s="71">
        <v>851557.40999999992</v>
      </c>
      <c r="F82" s="33">
        <v>333927.52848000004</v>
      </c>
      <c r="G82" s="69">
        <f>SUM(G83,G87,G89,G91)</f>
        <v>81467.20958177482</v>
      </c>
      <c r="H82" s="39">
        <f>AVERAGE(D82:F82)</f>
        <v>433942.64616</v>
      </c>
      <c r="I82" s="62">
        <f>SUM(I83,I87,I89,I91)</f>
        <v>1</v>
      </c>
    </row>
    <row r="83" spans="1:9" x14ac:dyDescent="0.25">
      <c r="A83" s="12" t="s">
        <v>133</v>
      </c>
      <c r="B83" s="17" t="s">
        <v>7</v>
      </c>
      <c r="C83" s="25">
        <f>$C$82*I83</f>
        <v>8311.7847759361048</v>
      </c>
      <c r="D83" s="73">
        <f>SUM(D84:D86)</f>
        <v>22518</v>
      </c>
      <c r="E83" s="74">
        <v>141926.23500000002</v>
      </c>
      <c r="F83" s="3"/>
      <c r="G83" s="72">
        <v>8146.7209581774823</v>
      </c>
      <c r="H83" s="36"/>
      <c r="I83" s="54">
        <v>0.03</v>
      </c>
    </row>
    <row r="84" spans="1:9" hidden="1" outlineLevel="1" x14ac:dyDescent="0.25">
      <c r="A84" s="13"/>
      <c r="B84" s="6" t="s">
        <v>90</v>
      </c>
      <c r="C84" s="38"/>
      <c r="D84" s="76">
        <v>7506</v>
      </c>
      <c r="E84" s="79"/>
      <c r="F84" s="27"/>
      <c r="G84" s="78"/>
      <c r="H84" s="38"/>
      <c r="I84" s="55"/>
    </row>
    <row r="85" spans="1:9" hidden="1" outlineLevel="1" x14ac:dyDescent="0.25">
      <c r="A85" s="13"/>
      <c r="B85" s="6" t="s">
        <v>102</v>
      </c>
      <c r="C85" s="38"/>
      <c r="D85" s="76">
        <v>7506</v>
      </c>
      <c r="E85" s="79"/>
      <c r="F85" s="27"/>
      <c r="G85" s="78"/>
      <c r="H85" s="38"/>
      <c r="I85" s="55"/>
    </row>
    <row r="86" spans="1:9" hidden="1" outlineLevel="1" x14ac:dyDescent="0.25">
      <c r="A86" s="13"/>
      <c r="B86" s="6" t="s">
        <v>25</v>
      </c>
      <c r="C86" s="38"/>
      <c r="D86" s="76">
        <v>7506</v>
      </c>
      <c r="E86" s="79"/>
      <c r="F86" s="27"/>
      <c r="G86" s="78"/>
      <c r="H86" s="38"/>
      <c r="I86" s="55"/>
    </row>
    <row r="87" spans="1:9" collapsed="1" x14ac:dyDescent="0.25">
      <c r="A87" s="12" t="s">
        <v>134</v>
      </c>
      <c r="B87" s="17" t="s">
        <v>114</v>
      </c>
      <c r="C87" s="25">
        <f>$C$82*I87</f>
        <v>166235.69551872209</v>
      </c>
      <c r="D87" s="73">
        <f>SUM(D88)</f>
        <v>75060</v>
      </c>
      <c r="E87" s="74">
        <v>425778.70499999996</v>
      </c>
      <c r="F87" s="3"/>
      <c r="G87" s="72">
        <v>24440.162874532445</v>
      </c>
      <c r="H87" s="36"/>
      <c r="I87" s="54">
        <v>0.6</v>
      </c>
    </row>
    <row r="88" spans="1:9" ht="30" hidden="1" outlineLevel="1" x14ac:dyDescent="0.25">
      <c r="A88" s="13"/>
      <c r="B88" s="18" t="s">
        <v>32</v>
      </c>
      <c r="C88" s="37"/>
      <c r="D88" s="76">
        <v>75060</v>
      </c>
      <c r="E88" s="77"/>
      <c r="F88" s="26"/>
      <c r="G88" s="75"/>
      <c r="H88" s="37"/>
      <c r="I88" s="56"/>
    </row>
    <row r="89" spans="1:9" collapsed="1" x14ac:dyDescent="0.25">
      <c r="A89" s="12" t="s">
        <v>135</v>
      </c>
      <c r="B89" s="17" t="s">
        <v>26</v>
      </c>
      <c r="C89" s="25">
        <f>$C$82*I89</f>
        <v>83117.847759361044</v>
      </c>
      <c r="D89" s="73">
        <f>SUM(D90)</f>
        <v>9382.5</v>
      </c>
      <c r="E89" s="74">
        <v>141926.23500000002</v>
      </c>
      <c r="F89" s="3"/>
      <c r="G89" s="72">
        <v>24440.162874532445</v>
      </c>
      <c r="H89" s="36"/>
      <c r="I89" s="54">
        <v>0.3</v>
      </c>
    </row>
    <row r="90" spans="1:9" hidden="1" outlineLevel="1" x14ac:dyDescent="0.25">
      <c r="A90" s="13"/>
      <c r="B90" s="6" t="s">
        <v>26</v>
      </c>
      <c r="C90" s="38"/>
      <c r="D90" s="76">
        <v>9382.5</v>
      </c>
      <c r="E90" s="79"/>
      <c r="F90" s="27"/>
      <c r="G90" s="78"/>
      <c r="H90" s="38"/>
      <c r="I90" s="55"/>
    </row>
    <row r="91" spans="1:9" collapsed="1" x14ac:dyDescent="0.25">
      <c r="A91" s="12" t="s">
        <v>136</v>
      </c>
      <c r="B91" s="17" t="s">
        <v>28</v>
      </c>
      <c r="C91" s="25">
        <f>$C$82*I91</f>
        <v>19394.164477184248</v>
      </c>
      <c r="D91" s="73">
        <f>SUM(D92)</f>
        <v>9382.5</v>
      </c>
      <c r="E91" s="74">
        <v>141926.23500000002</v>
      </c>
      <c r="F91" s="3"/>
      <c r="G91" s="72">
        <v>24440.162874532445</v>
      </c>
      <c r="H91" s="36"/>
      <c r="I91" s="54">
        <v>7.0000000000000007E-2</v>
      </c>
    </row>
    <row r="92" spans="1:9" hidden="1" outlineLevel="1" x14ac:dyDescent="0.25">
      <c r="A92" s="13"/>
      <c r="B92" s="6" t="s">
        <v>28</v>
      </c>
      <c r="C92" s="38"/>
      <c r="D92" s="76">
        <v>9382.5</v>
      </c>
      <c r="E92" s="79"/>
      <c r="F92" s="27"/>
      <c r="G92" s="78"/>
      <c r="H92" s="38"/>
      <c r="I92" s="38"/>
    </row>
    <row r="93" spans="1:9" collapsed="1" x14ac:dyDescent="0.25">
      <c r="A93" s="11">
        <v>5</v>
      </c>
      <c r="B93" s="16" t="s">
        <v>16</v>
      </c>
      <c r="C93" s="39">
        <f>C4*0.1</f>
        <v>277059.49253120349</v>
      </c>
      <c r="D93" s="70">
        <f>SUM(D94,D98,D100)</f>
        <v>153873</v>
      </c>
      <c r="E93" s="71">
        <v>709631.17499999993</v>
      </c>
      <c r="F93" s="33">
        <v>333927.52848000004</v>
      </c>
      <c r="G93" s="69">
        <f>SUM(G94,G98,G100)</f>
        <v>81467.20958177482</v>
      </c>
      <c r="H93" s="39">
        <f>AVERAGE(D93:F93)</f>
        <v>399143.90115999995</v>
      </c>
      <c r="I93" s="62">
        <f>SUM(I94,I98,I100,I102)</f>
        <v>3</v>
      </c>
    </row>
    <row r="94" spans="1:9" x14ac:dyDescent="0.25">
      <c r="A94" s="12" t="s">
        <v>137</v>
      </c>
      <c r="B94" s="17" t="s">
        <v>7</v>
      </c>
      <c r="C94" s="25">
        <f>$C$93*I94</f>
        <v>27705.94925312035</v>
      </c>
      <c r="D94" s="73">
        <f>SUM(D95:D97)</f>
        <v>22518</v>
      </c>
      <c r="E94" s="74">
        <v>141926.23500000002</v>
      </c>
      <c r="F94" s="3"/>
      <c r="G94" s="72">
        <v>32586.883832709929</v>
      </c>
      <c r="H94" s="36"/>
      <c r="I94" s="54">
        <v>0.1</v>
      </c>
    </row>
    <row r="95" spans="1:9" hidden="1" outlineLevel="1" x14ac:dyDescent="0.25">
      <c r="A95" s="13"/>
      <c r="B95" s="6" t="s">
        <v>90</v>
      </c>
      <c r="C95" s="38"/>
      <c r="D95" s="76">
        <v>7506</v>
      </c>
      <c r="E95" s="79"/>
      <c r="F95" s="27"/>
      <c r="G95" s="78"/>
      <c r="H95" s="38"/>
      <c r="I95" s="55"/>
    </row>
    <row r="96" spans="1:9" hidden="1" outlineLevel="1" x14ac:dyDescent="0.25">
      <c r="A96" s="13"/>
      <c r="B96" s="6" t="s">
        <v>102</v>
      </c>
      <c r="C96" s="38"/>
      <c r="D96" s="76">
        <v>7506</v>
      </c>
      <c r="E96" s="79"/>
      <c r="F96" s="27"/>
      <c r="G96" s="78"/>
      <c r="H96" s="38"/>
      <c r="I96" s="55"/>
    </row>
    <row r="97" spans="1:9" hidden="1" outlineLevel="1" x14ac:dyDescent="0.25">
      <c r="A97" s="13"/>
      <c r="B97" s="6" t="s">
        <v>25</v>
      </c>
      <c r="C97" s="38"/>
      <c r="D97" s="76">
        <v>7506</v>
      </c>
      <c r="E97" s="79"/>
      <c r="F97" s="27"/>
      <c r="G97" s="78"/>
      <c r="H97" s="38"/>
      <c r="I97" s="55"/>
    </row>
    <row r="98" spans="1:9" collapsed="1" x14ac:dyDescent="0.25">
      <c r="A98" s="12" t="s">
        <v>138</v>
      </c>
      <c r="B98" s="17" t="s">
        <v>26</v>
      </c>
      <c r="C98" s="25">
        <f>$C$93*I98</f>
        <v>193941.64477184243</v>
      </c>
      <c r="D98" s="73">
        <f>SUM(D99)</f>
        <v>112590</v>
      </c>
      <c r="E98" s="74">
        <v>425778.70499999996</v>
      </c>
      <c r="F98" s="3"/>
      <c r="G98" s="72">
        <v>24440.162874532445</v>
      </c>
      <c r="H98" s="36"/>
      <c r="I98" s="54">
        <v>0.7</v>
      </c>
    </row>
    <row r="99" spans="1:9" hidden="1" outlineLevel="1" x14ac:dyDescent="0.25">
      <c r="A99" s="13"/>
      <c r="B99" s="6" t="s">
        <v>26</v>
      </c>
      <c r="C99" s="38"/>
      <c r="D99" s="76">
        <v>112590</v>
      </c>
      <c r="E99" s="79"/>
      <c r="F99" s="27"/>
      <c r="G99" s="78"/>
      <c r="H99" s="38"/>
      <c r="I99" s="55"/>
    </row>
    <row r="100" spans="1:9" collapsed="1" x14ac:dyDescent="0.25">
      <c r="A100" s="12" t="s">
        <v>139</v>
      </c>
      <c r="B100" s="17" t="s">
        <v>28</v>
      </c>
      <c r="C100" s="25">
        <f>$C$93*I100</f>
        <v>55411.898506240701</v>
      </c>
      <c r="D100" s="73">
        <f>SUM(D101)</f>
        <v>18765</v>
      </c>
      <c r="E100" s="74">
        <v>141926.23500000002</v>
      </c>
      <c r="F100" s="3"/>
      <c r="G100" s="72">
        <v>24440.162874532445</v>
      </c>
      <c r="H100" s="36"/>
      <c r="I100" s="54">
        <v>0.2</v>
      </c>
    </row>
    <row r="101" spans="1:9" hidden="1" outlineLevel="1" x14ac:dyDescent="0.25">
      <c r="A101" s="13"/>
      <c r="B101" s="6" t="s">
        <v>28</v>
      </c>
      <c r="C101" s="38"/>
      <c r="D101" s="76">
        <v>18765</v>
      </c>
      <c r="E101" s="79"/>
      <c r="F101" s="27"/>
      <c r="G101" s="78"/>
      <c r="H101" s="38"/>
      <c r="I101" s="38"/>
    </row>
    <row r="102" spans="1:9" collapsed="1" x14ac:dyDescent="0.25">
      <c r="A102" s="11">
        <v>6</v>
      </c>
      <c r="B102" s="16" t="s">
        <v>17</v>
      </c>
      <c r="C102" s="39">
        <f>C4*0.1</f>
        <v>277059.49253120349</v>
      </c>
      <c r="D102" s="70">
        <f>SUM(D103,D107,D109)</f>
        <v>153873</v>
      </c>
      <c r="E102" s="71">
        <v>709631.17499999993</v>
      </c>
      <c r="F102" s="33">
        <v>333927.52848000004</v>
      </c>
      <c r="G102" s="69">
        <f>SUM(G103,G107,G109)</f>
        <v>81467.20958177482</v>
      </c>
      <c r="H102" s="39">
        <f>AVERAGE(D102:F102)</f>
        <v>399143.90115999995</v>
      </c>
      <c r="I102" s="62">
        <f>SUM(I103,I107,I109,I111)</f>
        <v>2</v>
      </c>
    </row>
    <row r="103" spans="1:9" x14ac:dyDescent="0.25">
      <c r="A103" s="12" t="s">
        <v>140</v>
      </c>
      <c r="B103" s="17" t="s">
        <v>7</v>
      </c>
      <c r="C103" s="25">
        <f>$C$102*I103</f>
        <v>27705.94925312035</v>
      </c>
      <c r="D103" s="73">
        <f>SUM(D104:D106)</f>
        <v>22518</v>
      </c>
      <c r="E103" s="74">
        <v>141926.23500000002</v>
      </c>
      <c r="F103" s="3"/>
      <c r="G103" s="72">
        <v>32586.883832709929</v>
      </c>
      <c r="H103" s="36"/>
      <c r="I103" s="54">
        <v>0.1</v>
      </c>
    </row>
    <row r="104" spans="1:9" hidden="1" outlineLevel="1" x14ac:dyDescent="0.25">
      <c r="A104" s="13"/>
      <c r="B104" s="6" t="s">
        <v>90</v>
      </c>
      <c r="C104" s="38"/>
      <c r="D104" s="76">
        <v>7506</v>
      </c>
      <c r="E104" s="79"/>
      <c r="F104" s="27"/>
      <c r="G104" s="78"/>
      <c r="H104" s="38"/>
      <c r="I104" s="55"/>
    </row>
    <row r="105" spans="1:9" hidden="1" outlineLevel="1" x14ac:dyDescent="0.25">
      <c r="A105" s="13"/>
      <c r="B105" s="6" t="s">
        <v>102</v>
      </c>
      <c r="C105" s="38"/>
      <c r="D105" s="76">
        <v>7506</v>
      </c>
      <c r="E105" s="79"/>
      <c r="F105" s="27"/>
      <c r="G105" s="78"/>
      <c r="H105" s="38"/>
      <c r="I105" s="55"/>
    </row>
    <row r="106" spans="1:9" hidden="1" outlineLevel="1" x14ac:dyDescent="0.25">
      <c r="A106" s="13"/>
      <c r="B106" s="6" t="s">
        <v>25</v>
      </c>
      <c r="C106" s="38"/>
      <c r="D106" s="76">
        <v>7506</v>
      </c>
      <c r="E106" s="79"/>
      <c r="F106" s="27"/>
      <c r="G106" s="78"/>
      <c r="H106" s="38"/>
      <c r="I106" s="55"/>
    </row>
    <row r="107" spans="1:9" collapsed="1" x14ac:dyDescent="0.25">
      <c r="A107" s="12" t="s">
        <v>141</v>
      </c>
      <c r="B107" s="17" t="s">
        <v>26</v>
      </c>
      <c r="C107" s="25">
        <f>$C$102*I107</f>
        <v>193941.64477184243</v>
      </c>
      <c r="D107" s="73">
        <f>SUM(D108)</f>
        <v>112590</v>
      </c>
      <c r="E107" s="74">
        <v>425778.70499999996</v>
      </c>
      <c r="F107" s="3"/>
      <c r="G107" s="72">
        <v>24440.162874532445</v>
      </c>
      <c r="H107" s="36"/>
      <c r="I107" s="54">
        <v>0.7</v>
      </c>
    </row>
    <row r="108" spans="1:9" hidden="1" outlineLevel="1" x14ac:dyDescent="0.25">
      <c r="A108" s="13"/>
      <c r="B108" s="6" t="s">
        <v>26</v>
      </c>
      <c r="C108" s="38"/>
      <c r="D108" s="76">
        <v>112590</v>
      </c>
      <c r="E108" s="79"/>
      <c r="F108" s="27"/>
      <c r="G108" s="78"/>
      <c r="H108" s="38"/>
      <c r="I108" s="55"/>
    </row>
    <row r="109" spans="1:9" collapsed="1" x14ac:dyDescent="0.25">
      <c r="A109" s="12" t="s">
        <v>142</v>
      </c>
      <c r="B109" s="17" t="s">
        <v>28</v>
      </c>
      <c r="C109" s="25">
        <f>$C$102*I109</f>
        <v>55411.898506240701</v>
      </c>
      <c r="D109" s="73">
        <f>SUM(D110)</f>
        <v>18765</v>
      </c>
      <c r="E109" s="74">
        <v>141926.23500000002</v>
      </c>
      <c r="F109" s="3"/>
      <c r="G109" s="72">
        <v>24440.162874532445</v>
      </c>
      <c r="H109" s="36"/>
      <c r="I109" s="54">
        <v>0.2</v>
      </c>
    </row>
    <row r="110" spans="1:9" ht="13.5" hidden="1" customHeight="1" outlineLevel="1" x14ac:dyDescent="0.25">
      <c r="A110" s="13"/>
      <c r="B110" s="6" t="s">
        <v>28</v>
      </c>
      <c r="C110" s="38"/>
      <c r="D110" s="76">
        <v>18765</v>
      </c>
      <c r="E110" s="79"/>
      <c r="F110" s="27"/>
      <c r="G110" s="78"/>
      <c r="H110" s="38"/>
      <c r="I110" s="55"/>
    </row>
    <row r="111" spans="1:9" collapsed="1" x14ac:dyDescent="0.25">
      <c r="A111" s="11">
        <v>7</v>
      </c>
      <c r="B111" s="16" t="s">
        <v>18</v>
      </c>
      <c r="C111" s="39">
        <f>C4*0.7</f>
        <v>1939416.4477184243</v>
      </c>
      <c r="D111" s="70">
        <f>SUM(D112,D119,D122,D126,D130,D132)</f>
        <v>3595374</v>
      </c>
      <c r="E111" s="71">
        <v>3122377.1700000004</v>
      </c>
      <c r="F111" s="33">
        <v>1526525.8444800007</v>
      </c>
      <c r="G111" s="69">
        <f>SUM(G112,G119,G122,G126,G130,G132)</f>
        <v>81467.20958177482</v>
      </c>
      <c r="H111" s="39">
        <f>AVERAGE(D111:F111)</f>
        <v>2748092.3381600003</v>
      </c>
      <c r="I111" s="62">
        <f>SUM(I112,I119,I122,I126,I130,I132)</f>
        <v>1</v>
      </c>
    </row>
    <row r="112" spans="1:9" x14ac:dyDescent="0.25">
      <c r="A112" s="12" t="s">
        <v>143</v>
      </c>
      <c r="B112" s="17" t="s">
        <v>7</v>
      </c>
      <c r="C112" s="25">
        <f>$C$111*I112</f>
        <v>58182.493431552728</v>
      </c>
      <c r="D112" s="73">
        <f>SUM(D113:D118)</f>
        <v>67554</v>
      </c>
      <c r="E112" s="74">
        <v>141926.23500000002</v>
      </c>
      <c r="F112" s="3"/>
      <c r="G112" s="72">
        <v>12220.081437266223</v>
      </c>
      <c r="H112" s="36"/>
      <c r="I112" s="54">
        <v>0.03</v>
      </c>
    </row>
    <row r="113" spans="1:9" hidden="1" outlineLevel="2" x14ac:dyDescent="0.25">
      <c r="A113" s="13"/>
      <c r="B113" s="6" t="s">
        <v>98</v>
      </c>
      <c r="C113" s="38"/>
      <c r="D113" s="76">
        <v>11259</v>
      </c>
      <c r="E113" s="79"/>
      <c r="F113" s="27"/>
      <c r="G113" s="78"/>
      <c r="H113" s="38"/>
      <c r="I113" s="55"/>
    </row>
    <row r="114" spans="1:9" hidden="1" outlineLevel="2" x14ac:dyDescent="0.25">
      <c r="A114" s="13"/>
      <c r="B114" s="6" t="s">
        <v>90</v>
      </c>
      <c r="C114" s="38"/>
      <c r="D114" s="76">
        <v>11259</v>
      </c>
      <c r="E114" s="79"/>
      <c r="F114" s="27"/>
      <c r="G114" s="78"/>
      <c r="H114" s="38"/>
      <c r="I114" s="55"/>
    </row>
    <row r="115" spans="1:9" hidden="1" outlineLevel="2" x14ac:dyDescent="0.25">
      <c r="A115" s="13"/>
      <c r="B115" s="6" t="s">
        <v>99</v>
      </c>
      <c r="C115" s="38"/>
      <c r="D115" s="76">
        <v>11259</v>
      </c>
      <c r="E115" s="79"/>
      <c r="F115" s="27"/>
      <c r="G115" s="78"/>
      <c r="H115" s="38"/>
      <c r="I115" s="55"/>
    </row>
    <row r="116" spans="1:9" hidden="1" outlineLevel="2" x14ac:dyDescent="0.25">
      <c r="A116" s="13"/>
      <c r="B116" s="6" t="s">
        <v>100</v>
      </c>
      <c r="C116" s="38"/>
      <c r="D116" s="76">
        <v>11259</v>
      </c>
      <c r="E116" s="79"/>
      <c r="F116" s="27"/>
      <c r="G116" s="78"/>
      <c r="H116" s="38"/>
      <c r="I116" s="55"/>
    </row>
    <row r="117" spans="1:9" hidden="1" outlineLevel="2" x14ac:dyDescent="0.25">
      <c r="A117" s="13"/>
      <c r="B117" s="6" t="s">
        <v>101</v>
      </c>
      <c r="C117" s="38"/>
      <c r="D117" s="76">
        <v>11259</v>
      </c>
      <c r="E117" s="79"/>
      <c r="F117" s="27"/>
      <c r="G117" s="78"/>
      <c r="H117" s="38"/>
      <c r="I117" s="55"/>
    </row>
    <row r="118" spans="1:9" hidden="1" outlineLevel="2" x14ac:dyDescent="0.25">
      <c r="A118" s="13"/>
      <c r="B118" s="6" t="s">
        <v>102</v>
      </c>
      <c r="C118" s="38"/>
      <c r="D118" s="76">
        <v>11259</v>
      </c>
      <c r="E118" s="79"/>
      <c r="F118" s="27"/>
      <c r="G118" s="78"/>
      <c r="H118" s="38"/>
      <c r="I118" s="55"/>
    </row>
    <row r="119" spans="1:9" collapsed="1" x14ac:dyDescent="0.25">
      <c r="A119" s="12" t="s">
        <v>144</v>
      </c>
      <c r="B119" s="17" t="s">
        <v>20</v>
      </c>
      <c r="C119" s="25">
        <f>$C$111*I119</f>
        <v>426671.61849805334</v>
      </c>
      <c r="D119" s="73">
        <f>SUM(D120:D121)</f>
        <v>1595025</v>
      </c>
      <c r="E119" s="74">
        <v>709631.17500000005</v>
      </c>
      <c r="F119" s="3"/>
      <c r="G119" s="72">
        <v>16293.441916354965</v>
      </c>
      <c r="H119" s="36"/>
      <c r="I119" s="54">
        <v>0.22</v>
      </c>
    </row>
    <row r="120" spans="1:9" ht="30" hidden="1" outlineLevel="1" x14ac:dyDescent="0.25">
      <c r="A120" s="13"/>
      <c r="B120" s="18" t="s">
        <v>51</v>
      </c>
      <c r="C120" s="37"/>
      <c r="D120" s="76">
        <v>1501200</v>
      </c>
      <c r="E120" s="77"/>
      <c r="F120" s="26"/>
      <c r="G120" s="75"/>
      <c r="H120" s="37"/>
      <c r="I120" s="56"/>
    </row>
    <row r="121" spans="1:9" hidden="1" outlineLevel="1" x14ac:dyDescent="0.25">
      <c r="A121" s="13"/>
      <c r="B121" s="6" t="s">
        <v>23</v>
      </c>
      <c r="C121" s="38"/>
      <c r="D121" s="76">
        <v>93825</v>
      </c>
      <c r="E121" s="79"/>
      <c r="F121" s="27"/>
      <c r="G121" s="78"/>
      <c r="H121" s="38"/>
      <c r="I121" s="55"/>
    </row>
    <row r="122" spans="1:9" collapsed="1" x14ac:dyDescent="0.25">
      <c r="A122" s="12" t="s">
        <v>145</v>
      </c>
      <c r="B122" s="17" t="s">
        <v>48</v>
      </c>
      <c r="C122" s="25">
        <f>$C$111*I122</f>
        <v>775766.57908736973</v>
      </c>
      <c r="D122" s="73">
        <f>SUM(D123:D125)</f>
        <v>844425</v>
      </c>
      <c r="E122" s="74">
        <v>1135409.8800000001</v>
      </c>
      <c r="F122" s="3"/>
      <c r="G122" s="72">
        <v>20366.802395443705</v>
      </c>
      <c r="H122" s="36"/>
      <c r="I122" s="54">
        <v>0.4</v>
      </c>
    </row>
    <row r="123" spans="1:9" ht="15" hidden="1" customHeight="1" outlineLevel="1" x14ac:dyDescent="0.25">
      <c r="A123" s="13"/>
      <c r="B123" s="6" t="s">
        <v>164</v>
      </c>
      <c r="C123" s="38"/>
      <c r="D123" s="76">
        <v>281475</v>
      </c>
      <c r="E123" s="79"/>
      <c r="F123" s="27"/>
      <c r="G123" s="78"/>
      <c r="H123" s="38"/>
      <c r="I123" s="55"/>
    </row>
    <row r="124" spans="1:9" hidden="1" outlineLevel="1" x14ac:dyDescent="0.25">
      <c r="A124" s="13"/>
      <c r="B124" s="6" t="s">
        <v>165</v>
      </c>
      <c r="C124" s="38"/>
      <c r="D124" s="76">
        <v>281475</v>
      </c>
      <c r="E124" s="79"/>
      <c r="F124" s="27"/>
      <c r="G124" s="78"/>
      <c r="H124" s="38"/>
      <c r="I124" s="55"/>
    </row>
    <row r="125" spans="1:9" hidden="1" outlineLevel="1" x14ac:dyDescent="0.25">
      <c r="A125" s="13"/>
      <c r="B125" s="6" t="s">
        <v>166</v>
      </c>
      <c r="C125" s="38"/>
      <c r="D125" s="76">
        <v>281475</v>
      </c>
      <c r="E125" s="79"/>
      <c r="F125" s="27"/>
      <c r="G125" s="78"/>
      <c r="H125" s="38"/>
      <c r="I125" s="55"/>
    </row>
    <row r="126" spans="1:9" collapsed="1" x14ac:dyDescent="0.25">
      <c r="A126" s="12" t="s">
        <v>146</v>
      </c>
      <c r="B126" s="17" t="s">
        <v>34</v>
      </c>
      <c r="C126" s="25">
        <f>$C$111*I126</f>
        <v>387883.28954368486</v>
      </c>
      <c r="D126" s="73">
        <f>SUM(D127:D129)</f>
        <v>769365</v>
      </c>
      <c r="E126" s="74">
        <v>567704.94000000006</v>
      </c>
      <c r="F126" s="3"/>
      <c r="G126" s="72">
        <v>16293.441916354965</v>
      </c>
      <c r="H126" s="36"/>
      <c r="I126" s="54">
        <v>0.2</v>
      </c>
    </row>
    <row r="127" spans="1:9" hidden="1" outlineLevel="1" x14ac:dyDescent="0.25">
      <c r="A127" s="13"/>
      <c r="B127" s="6" t="s">
        <v>35</v>
      </c>
      <c r="C127" s="38"/>
      <c r="D127" s="76">
        <v>93825</v>
      </c>
      <c r="E127" s="79"/>
      <c r="F127" s="27"/>
      <c r="G127" s="78"/>
      <c r="H127" s="38"/>
      <c r="I127" s="55"/>
    </row>
    <row r="128" spans="1:9" ht="30" hidden="1" outlineLevel="1" x14ac:dyDescent="0.25">
      <c r="A128" s="13"/>
      <c r="B128" s="18" t="s">
        <v>31</v>
      </c>
      <c r="C128" s="37"/>
      <c r="D128" s="76">
        <v>337770</v>
      </c>
      <c r="E128" s="77"/>
      <c r="F128" s="26"/>
      <c r="G128" s="75"/>
      <c r="H128" s="37"/>
      <c r="I128" s="56"/>
    </row>
    <row r="129" spans="1:9" ht="30" hidden="1" outlineLevel="1" x14ac:dyDescent="0.25">
      <c r="A129" s="13"/>
      <c r="B129" s="18" t="s">
        <v>33</v>
      </c>
      <c r="C129" s="37"/>
      <c r="D129" s="76">
        <v>337770</v>
      </c>
      <c r="E129" s="77"/>
      <c r="F129" s="26"/>
      <c r="G129" s="75"/>
      <c r="H129" s="37"/>
      <c r="I129" s="56"/>
    </row>
    <row r="130" spans="1:9" collapsed="1" x14ac:dyDescent="0.25">
      <c r="A130" s="12" t="s">
        <v>147</v>
      </c>
      <c r="B130" s="17" t="s">
        <v>26</v>
      </c>
      <c r="C130" s="25">
        <f>$C$111*I130</f>
        <v>193941.64477184243</v>
      </c>
      <c r="D130" s="73">
        <f>SUM(D131)</f>
        <v>225180</v>
      </c>
      <c r="E130" s="74">
        <v>283852.47000000003</v>
      </c>
      <c r="F130" s="3"/>
      <c r="G130" s="72">
        <v>8146.7209581774823</v>
      </c>
      <c r="H130" s="36"/>
      <c r="I130" s="54">
        <v>0.1</v>
      </c>
    </row>
    <row r="131" spans="1:9" hidden="1" outlineLevel="1" x14ac:dyDescent="0.25">
      <c r="A131" s="13"/>
      <c r="B131" s="6" t="s">
        <v>26</v>
      </c>
      <c r="C131" s="38"/>
      <c r="D131" s="76">
        <v>225180</v>
      </c>
      <c r="E131" s="79"/>
      <c r="F131" s="27"/>
      <c r="G131" s="78"/>
      <c r="H131" s="38"/>
      <c r="I131" s="55"/>
    </row>
    <row r="132" spans="1:9" collapsed="1" x14ac:dyDescent="0.25">
      <c r="A132" s="12" t="s">
        <v>158</v>
      </c>
      <c r="B132" s="17" t="s">
        <v>28</v>
      </c>
      <c r="C132" s="25">
        <f>$C$111*I132</f>
        <v>96970.822385921216</v>
      </c>
      <c r="D132" s="73">
        <f>SUM(D133)</f>
        <v>93825</v>
      </c>
      <c r="E132" s="74">
        <v>283852.47000000003</v>
      </c>
      <c r="F132" s="3"/>
      <c r="G132" s="72">
        <v>8146.7209581774823</v>
      </c>
      <c r="H132" s="36"/>
      <c r="I132" s="54">
        <v>0.05</v>
      </c>
    </row>
    <row r="133" spans="1:9" hidden="1" outlineLevel="1" x14ac:dyDescent="0.25">
      <c r="A133" s="13"/>
      <c r="B133" s="6" t="s">
        <v>28</v>
      </c>
      <c r="C133" s="38"/>
      <c r="D133" s="76">
        <v>93825</v>
      </c>
      <c r="E133" s="79"/>
      <c r="F133" s="27"/>
      <c r="G133" s="78"/>
      <c r="H133" s="38"/>
      <c r="I133" s="38"/>
    </row>
    <row r="134" spans="1:9" collapsed="1" x14ac:dyDescent="0.25">
      <c r="A134" s="11">
        <v>8</v>
      </c>
      <c r="B134" s="16" t="s">
        <v>10</v>
      </c>
      <c r="C134" s="39">
        <f>'[1]Parte B'!$G$124</f>
        <v>811207.02574750676</v>
      </c>
      <c r="D134" s="70">
        <f>SUM(D135,D137,D139)</f>
        <v>427842</v>
      </c>
      <c r="E134" s="71">
        <v>851557.41</v>
      </c>
      <c r="F134" s="33">
        <v>456653.03040000011</v>
      </c>
      <c r="G134" s="69">
        <f>SUM(G135,G137,G139)</f>
        <v>203240.74951935664</v>
      </c>
      <c r="H134" s="39">
        <f>AVERAGE(D134:F134)</f>
        <v>578684.1468000001</v>
      </c>
      <c r="I134" s="62">
        <f>SUM(I135,I137,I139)</f>
        <v>1</v>
      </c>
    </row>
    <row r="135" spans="1:9" x14ac:dyDescent="0.25">
      <c r="A135" s="12" t="s">
        <v>148</v>
      </c>
      <c r="B135" s="17" t="s">
        <v>7</v>
      </c>
      <c r="C135" s="25">
        <f>$C$134*I135</f>
        <v>24336.210772425202</v>
      </c>
      <c r="D135" s="73">
        <f>SUM(D136)</f>
        <v>15012</v>
      </c>
      <c r="E135" s="74">
        <v>141926.23500000002</v>
      </c>
      <c r="F135" s="3"/>
      <c r="G135" s="72">
        <v>20324.074951935669</v>
      </c>
      <c r="H135" s="36"/>
      <c r="I135" s="54">
        <v>0.03</v>
      </c>
    </row>
    <row r="136" spans="1:9" hidden="1" outlineLevel="1" x14ac:dyDescent="0.25">
      <c r="A136" s="13"/>
      <c r="B136" s="6" t="s">
        <v>24</v>
      </c>
      <c r="C136" s="38"/>
      <c r="D136" s="76">
        <v>15012</v>
      </c>
      <c r="E136" s="79"/>
      <c r="F136" s="27"/>
      <c r="G136" s="78"/>
      <c r="H136" s="38"/>
      <c r="I136" s="55"/>
    </row>
    <row r="137" spans="1:9" collapsed="1" x14ac:dyDescent="0.25">
      <c r="A137" s="12" t="s">
        <v>149</v>
      </c>
      <c r="B137" s="17" t="s">
        <v>26</v>
      </c>
      <c r="C137" s="25">
        <f>$C$134*I137</f>
        <v>648965.62059800548</v>
      </c>
      <c r="D137" s="73">
        <f>SUM(D138)</f>
        <v>375300</v>
      </c>
      <c r="E137" s="74">
        <v>567704.94000000006</v>
      </c>
      <c r="F137" s="3"/>
      <c r="G137" s="72">
        <v>91458.337283710498</v>
      </c>
      <c r="H137" s="36"/>
      <c r="I137" s="54">
        <v>0.8</v>
      </c>
    </row>
    <row r="138" spans="1:9" hidden="1" outlineLevel="1" x14ac:dyDescent="0.25">
      <c r="A138" s="13"/>
      <c r="B138" s="6" t="s">
        <v>26</v>
      </c>
      <c r="C138" s="38"/>
      <c r="D138" s="76">
        <v>375300</v>
      </c>
      <c r="E138" s="79"/>
      <c r="F138" s="27"/>
      <c r="G138" s="78"/>
      <c r="H138" s="38"/>
      <c r="I138" s="55"/>
    </row>
    <row r="139" spans="1:9" collapsed="1" x14ac:dyDescent="0.25">
      <c r="A139" s="12" t="s">
        <v>150</v>
      </c>
      <c r="B139" s="17" t="s">
        <v>28</v>
      </c>
      <c r="C139" s="25">
        <f>$C$134*I139</f>
        <v>137905.19437707617</v>
      </c>
      <c r="D139" s="73">
        <f>SUM(D140)</f>
        <v>37530</v>
      </c>
      <c r="E139" s="74">
        <v>141926.23500000002</v>
      </c>
      <c r="F139" s="3"/>
      <c r="G139" s="72">
        <v>91458.337283710498</v>
      </c>
      <c r="H139" s="36"/>
      <c r="I139" s="54">
        <v>0.17</v>
      </c>
    </row>
    <row r="140" spans="1:9" hidden="1" outlineLevel="1" x14ac:dyDescent="0.25">
      <c r="A140" s="13"/>
      <c r="B140" s="6" t="s">
        <v>28</v>
      </c>
      <c r="C140" s="38"/>
      <c r="D140" s="76">
        <v>37530</v>
      </c>
      <c r="E140" s="79"/>
      <c r="F140" s="27"/>
      <c r="G140" s="78"/>
      <c r="H140" s="38"/>
      <c r="I140" s="55"/>
    </row>
    <row r="141" spans="1:9" collapsed="1" x14ac:dyDescent="0.25">
      <c r="A141" s="11">
        <v>9</v>
      </c>
      <c r="B141" s="16" t="s">
        <v>27</v>
      </c>
      <c r="C141" s="39">
        <f>'[1]Parte B'!$G$142+'[1]Parte B'!$G$131</f>
        <v>1038577.2174513421</v>
      </c>
      <c r="D141" s="70">
        <f>SUM(D142,D144,D146)</f>
        <v>835042.5</v>
      </c>
      <c r="E141" s="71">
        <v>2412745.9950000006</v>
      </c>
      <c r="F141" s="33">
        <v>913306.06080000033</v>
      </c>
      <c r="G141" s="69">
        <f>SUM(G142,G144,G146)</f>
        <v>904421.13040957553</v>
      </c>
      <c r="H141" s="39">
        <f>AVERAGE(D141:F141)</f>
        <v>1387031.5186000003</v>
      </c>
      <c r="I141" s="62">
        <f>SUM(I142,I144,I146)</f>
        <v>1.0000000000000002</v>
      </c>
    </row>
    <row r="142" spans="1:9" x14ac:dyDescent="0.25">
      <c r="A142" s="12" t="s">
        <v>151</v>
      </c>
      <c r="B142" s="17" t="s">
        <v>7</v>
      </c>
      <c r="C142" s="25">
        <f>$C$141*I142</f>
        <v>31157.316523540259</v>
      </c>
      <c r="D142" s="73">
        <f>SUM(D143)</f>
        <v>37530</v>
      </c>
      <c r="E142" s="74">
        <v>141926.23500000002</v>
      </c>
      <c r="F142" s="3"/>
      <c r="G142" s="72">
        <v>90442.113040957556</v>
      </c>
      <c r="H142" s="36"/>
      <c r="I142" s="54">
        <v>2.9999999999999995E-2</v>
      </c>
    </row>
    <row r="143" spans="1:9" hidden="1" outlineLevel="1" x14ac:dyDescent="0.25">
      <c r="A143" s="13"/>
      <c r="B143" s="6" t="s">
        <v>24</v>
      </c>
      <c r="C143" s="38"/>
      <c r="D143" s="76">
        <v>37530</v>
      </c>
      <c r="E143" s="79"/>
      <c r="F143" s="27"/>
      <c r="G143" s="78"/>
      <c r="H143" s="38"/>
      <c r="I143" s="55"/>
    </row>
    <row r="144" spans="1:9" collapsed="1" x14ac:dyDescent="0.25">
      <c r="A144" s="12" t="s">
        <v>152</v>
      </c>
      <c r="B144" s="17" t="s">
        <v>29</v>
      </c>
      <c r="C144" s="25">
        <f>$C$141*I144</f>
        <v>830861.77396107384</v>
      </c>
      <c r="D144" s="73">
        <f>SUM(D145)</f>
        <v>750600</v>
      </c>
      <c r="E144" s="74">
        <v>1986967.2900000003</v>
      </c>
      <c r="F144" s="3"/>
      <c r="G144" s="72">
        <v>406989.50868430902</v>
      </c>
      <c r="H144" s="36"/>
      <c r="I144" s="54">
        <v>0.80000000000000016</v>
      </c>
    </row>
    <row r="145" spans="1:9" hidden="1" outlineLevel="1" x14ac:dyDescent="0.25">
      <c r="A145" s="13"/>
      <c r="B145" s="6" t="s">
        <v>29</v>
      </c>
      <c r="C145" s="38"/>
      <c r="D145" s="76">
        <v>750600</v>
      </c>
      <c r="E145" s="79"/>
      <c r="F145" s="27"/>
      <c r="G145" s="78"/>
      <c r="H145" s="38"/>
      <c r="I145" s="55"/>
    </row>
    <row r="146" spans="1:9" collapsed="1" x14ac:dyDescent="0.25">
      <c r="A146" s="12" t="s">
        <v>153</v>
      </c>
      <c r="B146" s="17" t="s">
        <v>28</v>
      </c>
      <c r="C146" s="25">
        <f>$C$141*I146</f>
        <v>176558.12696672819</v>
      </c>
      <c r="D146" s="73">
        <f>SUM(D147)</f>
        <v>46912.5</v>
      </c>
      <c r="E146" s="74">
        <v>283852.47000000003</v>
      </c>
      <c r="F146" s="3"/>
      <c r="G146" s="72">
        <v>406989.50868430902</v>
      </c>
      <c r="H146" s="36"/>
      <c r="I146" s="54">
        <v>0.17</v>
      </c>
    </row>
    <row r="147" spans="1:9" hidden="1" outlineLevel="1" x14ac:dyDescent="0.25">
      <c r="A147" s="13"/>
      <c r="B147" s="6" t="s">
        <v>28</v>
      </c>
      <c r="C147" s="38"/>
      <c r="D147" s="76">
        <v>46912.5</v>
      </c>
      <c r="E147" s="79"/>
      <c r="F147" s="27"/>
      <c r="G147" s="78"/>
      <c r="H147" s="38"/>
      <c r="I147" s="38"/>
    </row>
    <row r="148" spans="1:9" collapsed="1" x14ac:dyDescent="0.25">
      <c r="A148" s="11">
        <v>10</v>
      </c>
      <c r="B148" s="16" t="s">
        <v>78</v>
      </c>
      <c r="C148" s="39">
        <f>'[1]Parte B'!$G$150</f>
        <v>838876.51954124798</v>
      </c>
      <c r="D148" s="70">
        <f>SUM(D149,D151)</f>
        <v>1238490</v>
      </c>
      <c r="E148" s="71">
        <v>2554672.2300000004</v>
      </c>
      <c r="F148" s="33">
        <v>880687.98720000009</v>
      </c>
      <c r="G148" s="69">
        <f>SUM(G149,G151)</f>
        <v>1171020.5355002806</v>
      </c>
      <c r="H148" s="39">
        <f>AVERAGE(D148:F148)</f>
        <v>1557950.0724000002</v>
      </c>
      <c r="I148" s="62">
        <f>SUM(I149+I151)</f>
        <v>1</v>
      </c>
    </row>
    <row r="149" spans="1:9" x14ac:dyDescent="0.25">
      <c r="A149" s="12" t="s">
        <v>154</v>
      </c>
      <c r="B149" s="17" t="s">
        <v>7</v>
      </c>
      <c r="C149" s="25">
        <f>$C$148*I149</f>
        <v>41943.825977062406</v>
      </c>
      <c r="D149" s="73">
        <f>SUM(D150)</f>
        <v>37530</v>
      </c>
      <c r="E149" s="74">
        <v>283852.47000000003</v>
      </c>
      <c r="F149" s="3"/>
      <c r="G149" s="72">
        <v>117102.05355002807</v>
      </c>
      <c r="H149" s="36"/>
      <c r="I149" s="54">
        <v>5.000000000000001E-2</v>
      </c>
    </row>
    <row r="150" spans="1:9" hidden="1" outlineLevel="1" x14ac:dyDescent="0.25">
      <c r="A150" s="13"/>
      <c r="B150" s="6" t="s">
        <v>79</v>
      </c>
      <c r="C150" s="38"/>
      <c r="D150" s="76">
        <v>37530</v>
      </c>
      <c r="E150" s="79"/>
      <c r="F150" s="27"/>
      <c r="G150" s="78"/>
      <c r="H150" s="38"/>
      <c r="I150" s="55"/>
    </row>
    <row r="151" spans="1:9" collapsed="1" x14ac:dyDescent="0.25">
      <c r="A151" s="12" t="s">
        <v>155</v>
      </c>
      <c r="B151" s="17" t="s">
        <v>91</v>
      </c>
      <c r="C151" s="25">
        <f>$C$148*I151</f>
        <v>796932.69356418564</v>
      </c>
      <c r="D151" s="73">
        <f>SUM(D152:D158)</f>
        <v>1200960</v>
      </c>
      <c r="E151" s="74">
        <v>2270819.7600000002</v>
      </c>
      <c r="F151" s="3"/>
      <c r="G151" s="72">
        <v>1053918.4819502525</v>
      </c>
      <c r="H151" s="36"/>
      <c r="I151" s="54">
        <v>0.95000000000000007</v>
      </c>
    </row>
    <row r="152" spans="1:9" hidden="1" outlineLevel="1" x14ac:dyDescent="0.25">
      <c r="A152" s="13"/>
      <c r="B152" s="7" t="s">
        <v>156</v>
      </c>
      <c r="C152" s="32"/>
      <c r="D152" s="76">
        <v>187650</v>
      </c>
      <c r="E152" s="90"/>
      <c r="F152" s="32"/>
      <c r="G152" s="89"/>
      <c r="H152" s="67"/>
      <c r="I152" s="57"/>
    </row>
    <row r="153" spans="1:9" hidden="1" outlineLevel="1" x14ac:dyDescent="0.25">
      <c r="A153" s="13"/>
      <c r="B153" s="6" t="s">
        <v>92</v>
      </c>
      <c r="C153" s="41"/>
      <c r="D153" s="76">
        <v>150120</v>
      </c>
      <c r="E153" s="85"/>
      <c r="F153" s="30"/>
      <c r="G153" s="78"/>
      <c r="H153" s="41"/>
      <c r="I153" s="58"/>
    </row>
    <row r="154" spans="1:9" hidden="1" outlineLevel="1" x14ac:dyDescent="0.25">
      <c r="A154" s="13"/>
      <c r="B154" s="6" t="s">
        <v>93</v>
      </c>
      <c r="C154" s="41"/>
      <c r="D154" s="76">
        <v>150120</v>
      </c>
      <c r="E154" s="85"/>
      <c r="F154" s="30"/>
      <c r="G154" s="78"/>
      <c r="H154" s="41"/>
      <c r="I154" s="58"/>
    </row>
    <row r="155" spans="1:9" hidden="1" outlineLevel="1" x14ac:dyDescent="0.25">
      <c r="A155" s="13"/>
      <c r="B155" s="6" t="s">
        <v>94</v>
      </c>
      <c r="C155" s="41"/>
      <c r="D155" s="76">
        <v>150120</v>
      </c>
      <c r="E155" s="85"/>
      <c r="F155" s="30"/>
      <c r="G155" s="78"/>
      <c r="H155" s="41"/>
      <c r="I155" s="58"/>
    </row>
    <row r="156" spans="1:9" hidden="1" outlineLevel="1" x14ac:dyDescent="0.25">
      <c r="A156" s="13"/>
      <c r="B156" s="8" t="s">
        <v>95</v>
      </c>
      <c r="C156" s="64"/>
      <c r="D156" s="76">
        <v>112590</v>
      </c>
      <c r="E156" s="92"/>
      <c r="F156" s="64"/>
      <c r="G156" s="91"/>
      <c r="H156" s="68"/>
      <c r="I156" s="59"/>
    </row>
    <row r="157" spans="1:9" hidden="1" outlineLevel="1" x14ac:dyDescent="0.25">
      <c r="A157" s="13"/>
      <c r="B157" s="6" t="s">
        <v>96</v>
      </c>
      <c r="C157" s="41"/>
      <c r="D157" s="76">
        <v>75060</v>
      </c>
      <c r="E157" s="85"/>
      <c r="F157" s="30"/>
      <c r="G157" s="78"/>
      <c r="H157" s="41"/>
      <c r="I157" s="58"/>
    </row>
    <row r="158" spans="1:9" hidden="1" outlineLevel="1" x14ac:dyDescent="0.25">
      <c r="A158" s="13"/>
      <c r="B158" s="6" t="s">
        <v>97</v>
      </c>
      <c r="C158" s="41"/>
      <c r="D158" s="76">
        <v>375300</v>
      </c>
      <c r="E158" s="85"/>
      <c r="F158" s="30"/>
      <c r="G158" s="78"/>
      <c r="H158" s="41"/>
      <c r="I158" s="58"/>
    </row>
    <row r="159" spans="1:9" collapsed="1" x14ac:dyDescent="0.25">
      <c r="A159" s="11">
        <v>11</v>
      </c>
      <c r="B159" s="16" t="s">
        <v>59</v>
      </c>
      <c r="C159" s="39">
        <f>'[1]Parte B'!$G$135</f>
        <v>771323.94065004145</v>
      </c>
      <c r="D159" s="70">
        <f>SUM(D160:D162)</f>
        <v>638010</v>
      </c>
      <c r="E159" s="71">
        <v>1135409.8800000001</v>
      </c>
      <c r="F159" s="33">
        <v>954078.65280000027</v>
      </c>
      <c r="G159" s="69">
        <v>784807.94364762795</v>
      </c>
      <c r="H159" s="39">
        <f>AVERAGE(D159:F159)</f>
        <v>909166.17760000005</v>
      </c>
      <c r="I159" s="62">
        <v>1</v>
      </c>
    </row>
    <row r="160" spans="1:9" hidden="1" outlineLevel="1" x14ac:dyDescent="0.25">
      <c r="A160" s="13"/>
      <c r="B160" s="6" t="s">
        <v>60</v>
      </c>
      <c r="C160" s="38"/>
      <c r="D160" s="76">
        <v>281475</v>
      </c>
      <c r="E160" s="79"/>
      <c r="F160" s="27"/>
      <c r="G160" s="78"/>
      <c r="H160" s="38"/>
      <c r="I160" s="38"/>
    </row>
    <row r="161" spans="1:9" hidden="1" outlineLevel="1" x14ac:dyDescent="0.25">
      <c r="A161" s="13"/>
      <c r="B161" s="6" t="s">
        <v>62</v>
      </c>
      <c r="C161" s="38"/>
      <c r="D161" s="76">
        <v>281475</v>
      </c>
      <c r="E161" s="79"/>
      <c r="F161" s="27"/>
      <c r="G161" s="78"/>
      <c r="H161" s="38"/>
      <c r="I161" s="38"/>
    </row>
    <row r="162" spans="1:9" hidden="1" outlineLevel="1" x14ac:dyDescent="0.25">
      <c r="A162" s="13"/>
      <c r="B162" s="6" t="s">
        <v>61</v>
      </c>
      <c r="C162" s="38"/>
      <c r="D162" s="76">
        <v>75060</v>
      </c>
      <c r="E162" s="79"/>
      <c r="F162" s="27"/>
      <c r="G162" s="78"/>
      <c r="H162" s="38"/>
      <c r="I162" s="38"/>
    </row>
    <row r="163" spans="1:9" collapsed="1" x14ac:dyDescent="0.25">
      <c r="A163" s="11">
        <v>12</v>
      </c>
      <c r="B163" s="16" t="s">
        <v>52</v>
      </c>
      <c r="C163" s="44">
        <f>'[1]Parte B'!$G$158</f>
        <v>392791.4753108304</v>
      </c>
      <c r="D163" s="70">
        <f>SUM(D164,D167,D170)</f>
        <v>176391</v>
      </c>
      <c r="E163" s="71">
        <v>1277336.1150000002</v>
      </c>
      <c r="F163" s="33">
        <v>244635.55200000005</v>
      </c>
      <c r="G163" s="69">
        <f>SUM(G164,G167,G170)</f>
        <v>1778356.5582943708</v>
      </c>
      <c r="H163" s="39">
        <f>AVERAGE(D163:F163)</f>
        <v>566120.88900000008</v>
      </c>
      <c r="I163" s="63">
        <f>SUM(I164,I167,I170)</f>
        <v>1</v>
      </c>
    </row>
    <row r="164" spans="1:9" x14ac:dyDescent="0.25">
      <c r="A164" s="12" t="s">
        <v>159</v>
      </c>
      <c r="B164" s="17" t="s">
        <v>7</v>
      </c>
      <c r="C164" s="25">
        <f>$C$163*I164</f>
        <v>11783.744259324911</v>
      </c>
      <c r="D164" s="73">
        <f>SUM(D165:D166)</f>
        <v>30024</v>
      </c>
      <c r="E164" s="74">
        <v>141926.23500000002</v>
      </c>
      <c r="F164" s="3"/>
      <c r="G164" s="72">
        <v>177835.65582943708</v>
      </c>
      <c r="H164" s="36"/>
      <c r="I164" s="60">
        <v>0.03</v>
      </c>
    </row>
    <row r="165" spans="1:9" hidden="1" outlineLevel="1" x14ac:dyDescent="0.25">
      <c r="A165" s="13"/>
      <c r="B165" s="6" t="s">
        <v>103</v>
      </c>
      <c r="C165" s="38"/>
      <c r="D165" s="76">
        <v>15012</v>
      </c>
      <c r="E165" s="79"/>
      <c r="F165" s="27"/>
      <c r="G165" s="78"/>
      <c r="H165" s="38"/>
      <c r="I165" s="55"/>
    </row>
    <row r="166" spans="1:9" hidden="1" outlineLevel="1" x14ac:dyDescent="0.25">
      <c r="A166" s="13"/>
      <c r="B166" s="6" t="s">
        <v>58</v>
      </c>
      <c r="C166" s="38"/>
      <c r="D166" s="76">
        <v>15012</v>
      </c>
      <c r="E166" s="79"/>
      <c r="F166" s="27"/>
      <c r="G166" s="78"/>
      <c r="H166" s="38"/>
      <c r="I166" s="55"/>
    </row>
    <row r="167" spans="1:9" collapsed="1" x14ac:dyDescent="0.25">
      <c r="A167" s="12" t="s">
        <v>160</v>
      </c>
      <c r="B167" s="17" t="s">
        <v>56</v>
      </c>
      <c r="C167" s="25">
        <f>$C$163*I167</f>
        <v>196395.7376554152</v>
      </c>
      <c r="D167" s="73">
        <f>SUM(D168:D169)</f>
        <v>71307</v>
      </c>
      <c r="E167" s="74">
        <v>567704.94000000006</v>
      </c>
      <c r="F167" s="3"/>
      <c r="G167" s="72">
        <v>622424.79540302965</v>
      </c>
      <c r="H167" s="36"/>
      <c r="I167" s="54">
        <v>0.5</v>
      </c>
    </row>
    <row r="168" spans="1:9" hidden="1" outlineLevel="1" x14ac:dyDescent="0.25">
      <c r="A168" s="13"/>
      <c r="B168" s="6" t="s">
        <v>54</v>
      </c>
      <c r="C168" s="38"/>
      <c r="D168" s="76">
        <v>15012</v>
      </c>
      <c r="E168" s="79"/>
      <c r="F168" s="27"/>
      <c r="G168" s="78"/>
      <c r="H168" s="38"/>
      <c r="I168" s="55"/>
    </row>
    <row r="169" spans="1:9" hidden="1" outlineLevel="1" x14ac:dyDescent="0.25">
      <c r="A169" s="13"/>
      <c r="B169" s="6" t="s">
        <v>53</v>
      </c>
      <c r="C169" s="38"/>
      <c r="D169" s="76">
        <v>56295</v>
      </c>
      <c r="E169" s="79"/>
      <c r="F169" s="27"/>
      <c r="G169" s="78"/>
      <c r="H169" s="38"/>
      <c r="I169" s="55"/>
    </row>
    <row r="170" spans="1:9" collapsed="1" x14ac:dyDescent="0.25">
      <c r="A170" s="12" t="s">
        <v>161</v>
      </c>
      <c r="B170" s="17" t="s">
        <v>55</v>
      </c>
      <c r="C170" s="25">
        <f>$C$163*I170</f>
        <v>184611.99339609029</v>
      </c>
      <c r="D170" s="73">
        <f>SUM(D171)</f>
        <v>75060</v>
      </c>
      <c r="E170" s="74">
        <v>567704.94000000006</v>
      </c>
      <c r="F170" s="3"/>
      <c r="G170" s="72">
        <v>978096.10706190392</v>
      </c>
      <c r="H170" s="36"/>
      <c r="I170" s="54">
        <v>0.47</v>
      </c>
    </row>
    <row r="171" spans="1:9" hidden="1" outlineLevel="1" x14ac:dyDescent="0.25">
      <c r="A171" s="13"/>
      <c r="B171" s="6" t="s">
        <v>57</v>
      </c>
      <c r="C171" s="38"/>
      <c r="D171" s="76">
        <v>75060</v>
      </c>
      <c r="E171" s="79"/>
      <c r="F171" s="27"/>
      <c r="G171" s="78"/>
      <c r="H171" s="38"/>
      <c r="I171" s="55"/>
    </row>
    <row r="172" spans="1:9" collapsed="1" x14ac:dyDescent="0.25">
      <c r="A172" s="11">
        <v>13</v>
      </c>
      <c r="B172" s="16" t="s">
        <v>82</v>
      </c>
      <c r="C172" s="39">
        <f>[1]Comunicação!$B$11</f>
        <v>600000</v>
      </c>
      <c r="D172" s="70">
        <f>SUM(D173,D175)</f>
        <v>202662</v>
      </c>
      <c r="E172" s="71">
        <v>709631.17500000005</v>
      </c>
      <c r="F172" s="33">
        <v>244635.55200000005</v>
      </c>
      <c r="G172" s="69">
        <f>SUM(G173,G175)</f>
        <v>607026.17096664687</v>
      </c>
      <c r="H172" s="39">
        <f>AVERAGE(D172:F172)</f>
        <v>385642.90900000004</v>
      </c>
      <c r="I172" s="62">
        <f>SUM(I173,I175)</f>
        <v>1</v>
      </c>
    </row>
    <row r="173" spans="1:9" x14ac:dyDescent="0.25">
      <c r="A173" s="12" t="s">
        <v>162</v>
      </c>
      <c r="B173" s="17" t="s">
        <v>7</v>
      </c>
      <c r="C173" s="25">
        <f>$C$172*I173</f>
        <v>90000</v>
      </c>
      <c r="D173" s="73">
        <f>SUM(D174)</f>
        <v>15012</v>
      </c>
      <c r="E173" s="74">
        <v>141926.23500000002</v>
      </c>
      <c r="F173" s="3"/>
      <c r="G173" s="72">
        <v>151756.54274166172</v>
      </c>
      <c r="H173" s="36"/>
      <c r="I173" s="54">
        <v>0.15</v>
      </c>
    </row>
    <row r="174" spans="1:9" ht="15" hidden="1" customHeight="1" outlineLevel="1" x14ac:dyDescent="0.25">
      <c r="A174" s="13"/>
      <c r="B174" s="6" t="s">
        <v>79</v>
      </c>
      <c r="C174" s="38"/>
      <c r="D174" s="76">
        <v>15012</v>
      </c>
      <c r="E174" s="79"/>
      <c r="F174" s="27"/>
      <c r="G174" s="78"/>
      <c r="H174" s="38"/>
      <c r="I174" s="55"/>
    </row>
    <row r="175" spans="1:9" collapsed="1" x14ac:dyDescent="0.25">
      <c r="A175" s="12" t="s">
        <v>163</v>
      </c>
      <c r="B175" s="17" t="s">
        <v>80</v>
      </c>
      <c r="C175" s="25">
        <f>$C$172*I175</f>
        <v>510000</v>
      </c>
      <c r="D175" s="73">
        <f>SUM(D176)</f>
        <v>187650</v>
      </c>
      <c r="E175" s="74">
        <v>567704.94000000006</v>
      </c>
      <c r="F175" s="3"/>
      <c r="G175" s="72">
        <v>455269.62822498515</v>
      </c>
      <c r="H175" s="36"/>
      <c r="I175" s="54">
        <v>0.85</v>
      </c>
    </row>
    <row r="176" spans="1:9" ht="15.75" hidden="1" customHeight="1" outlineLevel="1" thickBot="1" x14ac:dyDescent="0.25">
      <c r="A176" s="13"/>
      <c r="B176" s="6" t="s">
        <v>81</v>
      </c>
      <c r="C176" s="45"/>
      <c r="D176" s="22">
        <v>187650</v>
      </c>
      <c r="E176" s="27"/>
      <c r="F176" s="27"/>
      <c r="G176" s="6"/>
      <c r="H176" s="45"/>
      <c r="I176" s="61"/>
    </row>
    <row r="177" spans="4:5" collapsed="1" x14ac:dyDescent="0.25">
      <c r="D177" s="23"/>
      <c r="E177" s="23"/>
    </row>
    <row r="178" spans="4:5" x14ac:dyDescent="0.25">
      <c r="D178" s="23"/>
      <c r="E178" s="23"/>
    </row>
    <row r="182" spans="4:5" x14ac:dyDescent="0.25">
      <c r="D182" s="23"/>
      <c r="E182" s="23"/>
    </row>
  </sheetData>
  <autoFilter ref="A8:I176"/>
  <mergeCells count="4">
    <mergeCell ref="D1:F2"/>
    <mergeCell ref="A7:B7"/>
    <mergeCell ref="C5:C6"/>
    <mergeCell ref="D5:H5"/>
  </mergeCells>
  <pageMargins left="0.78740157480314965" right="0.78740157480314965" top="0.98425196850393704" bottom="0.78740157480314965" header="0.19685039370078741" footer="0.31496062992125984"/>
  <pageSetup paperSize="8" scale="75" orientation="landscape" r:id="rId1"/>
  <headerFooter>
    <oddHeader>&amp;R&amp;G</oddHeader>
    <oddFooter>&amp;R&amp;"Arial,Normal"&amp;9ANEXO XI - Página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4FAA54-2091-49A4-8E95-A0B0ABFEA366}">
  <ds:schemaRefs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Plan1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 Ferri</dc:creator>
  <cp:lastModifiedBy>Santi Ferri</cp:lastModifiedBy>
  <cp:lastPrinted>2020-09-15T14:15:38Z</cp:lastPrinted>
  <dcterms:created xsi:type="dcterms:W3CDTF">2020-09-09T19:18:46Z</dcterms:created>
  <dcterms:modified xsi:type="dcterms:W3CDTF">2020-10-02T22:49:47Z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